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850" windowHeight="4815" tabRatio="819" activeTab="1"/>
  </bookViews>
  <sheets>
    <sheet name="Instructions" sheetId="1" r:id="rId1"/>
    <sheet name="Inputs" sheetId="2" r:id="rId2"/>
    <sheet name=" Summary" sheetId="3" r:id="rId3"/>
    <sheet name="SPE Output" sheetId="4" r:id="rId4"/>
    <sheet name="ESCO Output" sheetId="5" r:id="rId5"/>
    <sheet name="Customer Output" sheetId="6" r:id="rId6"/>
    <sheet name="Lender Output" sheetId="7" r:id="rId7"/>
    <sheet name="Measures" sheetId="8" state="hidden" r:id="rId8"/>
    <sheet name="Debt" sheetId="9" r:id="rId9"/>
    <sheet name="Costs &amp; Savings" sheetId="10" state="veryHidden" r:id="rId10"/>
    <sheet name="Data" sheetId="11" state="veryHidden" r:id="rId11"/>
  </sheets>
  <definedNames>
    <definedName name="_xlnm.Print_Area" localSheetId="2">' Summary'!$B$3:$K$83</definedName>
    <definedName name="_xlnm.Print_Area" localSheetId="9">'Costs &amp; Savings'!$B$1:$I$39,'Costs &amp; Savings'!$L$1:$X$29</definedName>
    <definedName name="_xlnm.Print_Area" localSheetId="5">'Customer Output'!$B$2:$P$114</definedName>
    <definedName name="_xlnm.Print_Area" localSheetId="8">'Debt'!$A$1:$M$32,'Debt'!#REF!,'Debt'!$A$50:$T$50</definedName>
    <definedName name="_xlnm.Print_Area" localSheetId="4">'ESCO Output'!$B$2:$P$112</definedName>
    <definedName name="_xlnm.Print_Area" localSheetId="1">'Inputs'!$B$3:$J$56</definedName>
    <definedName name="_xlnm.Print_Area" localSheetId="0">'Instructions'!$A$1:$J$57</definedName>
    <definedName name="_xlnm.Print_Area" localSheetId="6">'Lender Output'!$B$2:$O$61</definedName>
    <definedName name="_xlnm.Print_Area" localSheetId="7">'Measures'!$A$1:$L$21</definedName>
    <definedName name="_xlnm.Print_Area" localSheetId="3">'SPE Output'!$B$2:$P$117</definedName>
    <definedName name="CDFee" localSheetId="1">'Inputs'!#REF!</definedName>
    <definedName name="CDFee">' Summary'!#REF!</definedName>
    <definedName name="CInt" localSheetId="1">'Inputs'!$F$45</definedName>
    <definedName name="CInt">' Summary'!$C$21</definedName>
    <definedName name="CLoan">'Data'!$B$1</definedName>
    <definedName name="CLoan1">'Data'!$B$1</definedName>
    <definedName name="CLoan2">'Data'!$B$2</definedName>
    <definedName name="Cost_Loan_Guarantee">'Inputs'!$F$43</definedName>
    <definedName name="Cost_of_Equity" localSheetId="1">'Inputs'!#REF!</definedName>
    <definedName name="Cost_of_Equity">' Summary'!#REF!</definedName>
    <definedName name="Cterm" localSheetId="1">'Inputs'!$F$46</definedName>
    <definedName name="Cterm">' Summary'!$C$22</definedName>
    <definedName name="Customer_Cash_from_previous_years" localSheetId="1">'Inputs'!$H$34</definedName>
    <definedName name="Customer_Cash_from_previous_years">' Summary'!$F$55</definedName>
    <definedName name="Customer_Cash_Provided_by_increases_in_debt" localSheetId="1">'Inputs'!$H$32</definedName>
    <definedName name="Customer_Cash_Provided_by_increases_in_debt">' Summary'!$F$53</definedName>
    <definedName name="Customer_Current_Liabilities" localSheetId="1">'Inputs'!$H$27</definedName>
    <definedName name="Customer_Current_Liabilities">' Summary'!$F$48</definedName>
    <definedName name="Customer_Debt_Payments" localSheetId="1">'Inputs'!$H$33</definedName>
    <definedName name="Customer_Debt_Payments">' Summary'!$F$54</definedName>
    <definedName name="Customer_Discount_rate" localSheetId="1">'Inputs'!#REF!</definedName>
    <definedName name="Customer_Discount_rate">' Summary'!#REF!</definedName>
    <definedName name="Customer_Energy_Expenses" localSheetId="1">'Inputs'!$H$22</definedName>
    <definedName name="Customer_Energy_Expenses">' Summary'!$F$43</definedName>
    <definedName name="Customer_Energy_Savings" localSheetId="1">'Inputs'!#REF!</definedName>
    <definedName name="Customer_Energy_Savings">' Summary'!$J$13</definedName>
    <definedName name="Customer_Expenses" localSheetId="1">'Inputs'!$H$19</definedName>
    <definedName name="Customer_Expenses">' Summary'!$F$40</definedName>
    <definedName name="Customer_Income" localSheetId="1">'Inputs'!$H$18</definedName>
    <definedName name="Customer_Income">' Summary'!$F$39</definedName>
    <definedName name="Customer_Interest_Expenses" localSheetId="1">'Inputs'!$H$20</definedName>
    <definedName name="Customer_Interest_Expenses">' Summary'!$F$41</definedName>
    <definedName name="Customer_Long_term_Liabilities" localSheetId="1">'Inputs'!$H$26</definedName>
    <definedName name="Customer_Long_term_Liabilities">' Summary'!$F$47</definedName>
    <definedName name="Customer_Long_term_or_Fixed_Assets" localSheetId="1">'Inputs'!$H$24</definedName>
    <definedName name="Customer_Long_term_or_Fixed_Assets">' Summary'!$F$45</definedName>
    <definedName name="Customer_Other_Current_Assets" localSheetId="1">'Inputs'!$H$25</definedName>
    <definedName name="Customer_Other_Current_Assets">' Summary'!$F$46</definedName>
    <definedName name="Customer_Other_Operating_Activities" localSheetId="1">'Inputs'!$H$29</definedName>
    <definedName name="Customer_Other_Operating_Activities">' Summary'!$F$50</definedName>
    <definedName name="Customer_Total_Investing_Activities" localSheetId="1">'Inputs'!$H$30</definedName>
    <definedName name="Customer_Total_Investing_Activities">' Summary'!$F$51</definedName>
    <definedName name="Discount_rate">'Inputs'!$F$42</definedName>
    <definedName name="DPayment">#REF!</definedName>
    <definedName name="ESavings">'Measures'!$F$14</definedName>
    <definedName name="ESCO_Loan_Amount" localSheetId="1">'Inputs'!#REF!</definedName>
    <definedName name="ESCO_Loan_Amount">' Summary'!$C$9</definedName>
    <definedName name="ESCO_Profit" localSheetId="1">'Inputs'!$D$28</definedName>
    <definedName name="ESCO_Profit">' Summary'!$G$25</definedName>
    <definedName name="ESCO_Profit_Target" localSheetId="1">'Inputs'!$D$28</definedName>
    <definedName name="ESCO_Profit_Target">' Summary'!$G$25</definedName>
    <definedName name="ESCOSplit1">'Costs &amp; Savings'!$I$12</definedName>
    <definedName name="ESCOSplit2">'Costs &amp; Savings'!$J$12</definedName>
    <definedName name="Facility_Loan_Amount" localSheetId="1">'Inputs'!#REF!</definedName>
    <definedName name="Facility_Loan_Amount">' Summary'!#REF!</definedName>
    <definedName name="FCost">'Costs &amp; Savings'!$D$21</definedName>
    <definedName name="FSavings">'Measures'!$G$14</definedName>
    <definedName name="HCCost">'Costs &amp; Savings'!$D$6</definedName>
    <definedName name="HCost">'Measures'!$C$14</definedName>
    <definedName name="HSCost">'Costs &amp; Savings'!$D$19</definedName>
    <definedName name="IESavings">'Costs &amp; Savings'!#REF!</definedName>
    <definedName name="IESCOSplit">'Costs &amp; Savings'!$I$14</definedName>
    <definedName name="IFSavings">'Costs &amp; Savings'!#REF!</definedName>
    <definedName name="IMSavings">'Costs &amp; Savings'!#REF!</definedName>
    <definedName name="Inflation" localSheetId="1">'Inputs'!$D$40</definedName>
    <definedName name="Inflation">' Summary'!$J$20</definedName>
    <definedName name="Loan_1_Amount" localSheetId="1">'Inputs'!#REF!</definedName>
    <definedName name="Loan_1_Amount">' Summary'!$C$9</definedName>
    <definedName name="Loan_1_Grace" localSheetId="1">'Inputs'!$F$40</definedName>
    <definedName name="Loan_1_Grace">' Summary'!$C$12</definedName>
    <definedName name="Loan_1_Interest" localSheetId="1">'Inputs'!$F$38</definedName>
    <definedName name="Loan_1_Interest">' Summary'!$C$10</definedName>
    <definedName name="Loan_1_Term" localSheetId="1">'Inputs'!$F$39</definedName>
    <definedName name="Loan_1_Term">' Summary'!$C$11</definedName>
    <definedName name="Loan_2_Amount" localSheetId="1">'Inputs'!#REF!</definedName>
    <definedName name="Loan_2_Amount">' Summary'!#REF!</definedName>
    <definedName name="Loan_2_Grace" localSheetId="1">'Inputs'!#REF!</definedName>
    <definedName name="Loan_2_Grace">' Summary'!#REF!</definedName>
    <definedName name="Loan_2_Interest" localSheetId="1">'Inputs'!#REF!</definedName>
    <definedName name="Loan_2_Interest">' Summary'!#REF!</definedName>
    <definedName name="Loan_2_Term" localSheetId="1">'Inputs'!#REF!</definedName>
    <definedName name="Loan_2_Term">' Summary'!#REF!</definedName>
    <definedName name="Long_term_or_Fixed_Assets" localSheetId="1">'Inputs'!$H$24</definedName>
    <definedName name="Long_term_or_Fixed_Assets">' Summary'!$F$45</definedName>
    <definedName name="MCost">#REF!</definedName>
    <definedName name="MSavings">'Measures'!$H$14</definedName>
    <definedName name="OHFactor">'Costs &amp; Savings'!$N$34</definedName>
    <definedName name="Other_Current_Assets" localSheetId="1">'Inputs'!$H$25</definedName>
    <definedName name="Other_Current_Assets">' Summary'!$F$46</definedName>
    <definedName name="PDebt">'Costs &amp; Savings'!#REF!</definedName>
    <definedName name="PEquity">'Costs &amp; Savings'!#REF!</definedName>
    <definedName name="Profit" localSheetId="1">'Inputs'!$D$28</definedName>
    <definedName name="Profit">' Summary'!$G$25</definedName>
    <definedName name="Project_Savings" localSheetId="1">'Inputs'!#REF!</definedName>
    <definedName name="Project_Savings">' Summary'!$J$7</definedName>
    <definedName name="REquity">'Debt'!#REF!</definedName>
    <definedName name="RNPV">'Costs &amp; Savings'!#REF!</definedName>
    <definedName name="Savings_Split_to_ESCO" localSheetId="1">'Inputs'!$D$32</definedName>
    <definedName name="Savings_Split_to_ESCO">' Summary'!$J$8</definedName>
    <definedName name="SCost">'Costs &amp; Savings'!$D$17</definedName>
    <definedName name="SMaint" localSheetId="1">'Inputs'!$C$34</definedName>
    <definedName name="SMaint">' Summary'!$J$11</definedName>
    <definedName name="SplitLevel">'Costs &amp; Savings'!$I$11</definedName>
    <definedName name="SSCost">'Costs &amp; Savings'!$D$11</definedName>
    <definedName name="TDebt">'Costs &amp; Savings'!#REF!</definedName>
    <definedName name="Term" localSheetId="1">'Inputs'!$C$31</definedName>
    <definedName name="Term">' Summary'!$J$6</definedName>
    <definedName name="VAT">'Costs &amp; Savings'!$D$4</definedName>
  </definedNames>
  <calcPr fullCalcOnLoad="1"/>
</workbook>
</file>

<file path=xl/comments10.xml><?xml version="1.0" encoding="utf-8"?>
<comments xmlns="http://schemas.openxmlformats.org/spreadsheetml/2006/main">
  <authors>
    <author>A satisfied Microsoft Office user</author>
  </authors>
  <commentList>
    <comment ref="E2" authorId="0">
      <text>
        <r>
          <rPr>
            <sz val="8"/>
            <rFont val="Tahoma"/>
            <family val="0"/>
          </rPr>
          <t>Calculates each cost as a percentage of total hard and soft costs.</t>
        </r>
      </text>
    </comment>
  </commentList>
</comments>
</file>

<file path=xl/comments2.xml><?xml version="1.0" encoding="utf-8"?>
<comments xmlns="http://schemas.openxmlformats.org/spreadsheetml/2006/main">
  <authors>
    <author>A satisfied Microsoft Office user</author>
    <author>Frederick P Renner</author>
    <author>Philip Doyle</author>
  </authors>
  <commentList>
    <comment ref="B32" authorId="0">
      <text>
        <r>
          <rPr>
            <sz val="8"/>
            <rFont val="Tahoma"/>
            <family val="0"/>
          </rPr>
          <t>Percentage of savings which go to ESCO up to projected savings.</t>
        </r>
      </text>
    </comment>
    <comment ref="B33" authorId="0">
      <text>
        <r>
          <rPr>
            <sz val="8"/>
            <rFont val="Tahoma"/>
            <family val="0"/>
          </rPr>
          <t>Savings generated and shared during construction period when first measures come online.  Enter actual savings in "Inputs" worksheet.</t>
        </r>
      </text>
    </comment>
    <comment ref="B34" authorId="0">
      <text>
        <r>
          <rPr>
            <sz val="8"/>
            <rFont val="Tahoma"/>
            <family val="0"/>
          </rPr>
          <t>Check the box if maintenance savings are shared with ESCO.  Share of maintenance savings will be same as share of energy savings.</t>
        </r>
      </text>
    </comment>
    <comment ref="E41" authorId="0">
      <text>
        <r>
          <rPr>
            <sz val="8"/>
            <rFont val="Tahoma"/>
            <family val="0"/>
          </rPr>
          <t>Choose "Level Payment" for fixed principal and interest payment or "Level Principal" for fixed principal and declining total payment.</t>
        </r>
      </text>
    </comment>
    <comment ref="E44" authorId="0">
      <text>
        <r>
          <rPr>
            <sz val="8"/>
            <rFont val="Tahoma"/>
            <family val="0"/>
          </rPr>
          <t>Check box if construction loan is used.  Construction loan is bridge financing which covers equip., contingency, CM, audit, and engineering costs, but not other soft costs.</t>
        </r>
      </text>
    </comment>
    <comment ref="B42" authorId="0">
      <text>
        <r>
          <rPr>
            <sz val="8"/>
            <rFont val="Tahoma"/>
            <family val="0"/>
          </rPr>
          <t xml:space="preserve">Set depreciation period </t>
        </r>
      </text>
    </comment>
    <comment ref="B43" authorId="0">
      <text>
        <r>
          <rPr>
            <sz val="8"/>
            <rFont val="Tahoma"/>
            <family val="0"/>
          </rPr>
          <t xml:space="preserve">Choose between different depreciation schedules:  Stright Line; Sum of Years Digits; or Declining Balance.   
</t>
        </r>
      </text>
    </comment>
    <comment ref="B44" authorId="0">
      <text>
        <r>
          <rPr>
            <sz val="8"/>
            <rFont val="Tahoma"/>
            <family val="0"/>
          </rPr>
          <t>Enter a salvage value for the equipment if it can be sold after the contract period.  Usually the value will be zero.</t>
        </r>
      </text>
    </comment>
    <comment ref="B45" authorId="0">
      <text>
        <r>
          <rPr>
            <sz val="8"/>
            <rFont val="Tahoma"/>
            <family val="0"/>
          </rPr>
          <t>In most cases project may generate maintenance savings; in some cases additional charges will accrue to ESCO.  If additional O&amp;M charges, enter as a percentage of total savings
As a percentage of total annual savings</t>
        </r>
      </text>
    </comment>
    <comment ref="B47" authorId="0">
      <text>
        <r>
          <rPr>
            <sz val="8"/>
            <rFont val="Tahoma"/>
            <family val="0"/>
          </rPr>
          <t>Monitoring and evaluation costs, usually payable by the ESCO during the contract period.
As a percentage of total annual savings</t>
        </r>
      </text>
    </comment>
    <comment ref="B17" authorId="0">
      <text>
        <r>
          <rPr>
            <sz val="8"/>
            <rFont val="Tahoma"/>
            <family val="0"/>
          </rPr>
          <t>Contingency costs as a percentage of hard costs.</t>
        </r>
      </text>
    </comment>
    <comment ref="B22" authorId="0">
      <text>
        <r>
          <rPr>
            <sz val="8"/>
            <rFont val="Tahoma"/>
            <family val="0"/>
          </rPr>
          <t>Fee paid to ESCO for managing the construction under the performance contract.  Enter as a percent of hard costs.</t>
        </r>
      </text>
    </comment>
    <comment ref="B20" authorId="0">
      <text>
        <r>
          <rPr>
            <sz val="8"/>
            <rFont val="Tahoma"/>
            <family val="0"/>
          </rPr>
          <t>Enter actual cost of technical audit.</t>
        </r>
      </text>
    </comment>
    <comment ref="B21" authorId="0">
      <text>
        <r>
          <rPr>
            <sz val="8"/>
            <rFont val="Tahoma"/>
            <family val="0"/>
          </rPr>
          <t>Enter engineering costs as a percentage of hard costs.  This cost covers engineering design work, and is usually about 10 percent of hard costs.</t>
        </r>
      </text>
    </comment>
    <comment ref="B24" authorId="0">
      <text>
        <r>
          <rPr>
            <sz val="8"/>
            <rFont val="Tahoma"/>
            <family val="0"/>
          </rPr>
          <t>Enter any other costs incurred by the ESCO which can be recovered under the contract and which can be financed.</t>
        </r>
      </text>
    </comment>
    <comment ref="B25" authorId="0">
      <text>
        <r>
          <rPr>
            <sz val="8"/>
            <rFont val="Tahoma"/>
            <family val="0"/>
          </rPr>
          <t xml:space="preserve">Enter as a percentage of Hard plus soft Costs (Marketing fee is usually 2-5%) </t>
        </r>
      </text>
    </comment>
    <comment ref="B26" authorId="0">
      <text>
        <r>
          <rPr>
            <sz val="8"/>
            <rFont val="Tahoma"/>
            <family val="0"/>
          </rPr>
          <t>Fee paid to the ESCO for managing the project, entered as a percent of hard costs.</t>
        </r>
      </text>
    </comment>
    <comment ref="B27" authorId="0">
      <text>
        <r>
          <rPr>
            <sz val="8"/>
            <rFont val="Tahoma"/>
            <family val="0"/>
          </rPr>
          <t>Legal costs incurred by the ESCO, usually related to development and execution of the performance contract.</t>
        </r>
      </text>
    </comment>
    <comment ref="B28" authorId="0">
      <text>
        <r>
          <rPr>
            <sz val="8"/>
            <rFont val="Tahoma"/>
            <family val="0"/>
          </rPr>
          <t>The profit target is the profit requested by the ESCO to the customer on a turnkey, lump-sum contract.  This is not a factor in the performance contract.</t>
        </r>
      </text>
    </comment>
    <comment ref="E40" authorId="1">
      <text>
        <r>
          <rPr>
            <sz val="8"/>
            <rFont val="Tahoma"/>
            <family val="0"/>
          </rPr>
          <t xml:space="preserve">Enter number of years for which no Principle payment to be made.  Assume no longer than 3 years </t>
        </r>
      </text>
    </comment>
    <comment ref="B39" authorId="1">
      <text>
        <r>
          <rPr>
            <b/>
            <sz val="8"/>
            <rFont val="Tahoma"/>
            <family val="0"/>
          </rPr>
          <t>applies to both ESCO and customer with exception of O&amp;M and M&amp;V costs</t>
        </r>
      </text>
    </comment>
    <comment ref="E18" authorId="1">
      <text>
        <r>
          <rPr>
            <b/>
            <sz val="8"/>
            <rFont val="Tahoma"/>
            <family val="0"/>
          </rPr>
          <t>gross revenue</t>
        </r>
      </text>
    </comment>
    <comment ref="E19" authorId="1">
      <text>
        <r>
          <rPr>
            <b/>
            <sz val="8"/>
            <rFont val="Tahoma"/>
            <family val="0"/>
          </rPr>
          <t>Should include cost of goods sold, and other operating costs:  overhead, G&amp;A</t>
        </r>
      </text>
    </comment>
    <comment ref="E26" authorId="2">
      <text>
        <r>
          <rPr>
            <sz val="8"/>
            <rFont val="Tahoma"/>
            <family val="2"/>
          </rPr>
          <t>Includes long-term debt and long-term leases.</t>
        </r>
      </text>
    </comment>
    <comment ref="E27" authorId="2">
      <text>
        <r>
          <rPr>
            <sz val="8"/>
            <rFont val="Tahoma"/>
            <family val="2"/>
          </rPr>
          <t>Includes: Accounts payable, Notes Payable, and other current assets.</t>
        </r>
      </text>
    </comment>
    <comment ref="E29" authorId="2">
      <text>
        <r>
          <rPr>
            <sz val="8"/>
            <rFont val="Tahoma"/>
            <family val="2"/>
          </rPr>
          <t>Cash flow from operations aside from net income.  Includes  increases to accounts payable, increases in accounts receivable, and increases in inventory.</t>
        </r>
      </text>
    </comment>
    <comment ref="G18" authorId="1">
      <text>
        <r>
          <rPr>
            <b/>
            <sz val="8"/>
            <rFont val="Tahoma"/>
            <family val="0"/>
          </rPr>
          <t>gross revenue</t>
        </r>
      </text>
    </comment>
    <comment ref="G19" authorId="1">
      <text>
        <r>
          <rPr>
            <b/>
            <sz val="8"/>
            <rFont val="Tahoma"/>
            <family val="0"/>
          </rPr>
          <t>Should include cost of goods sold, and other operating costs:  overhead, G&amp;A</t>
        </r>
      </text>
    </comment>
    <comment ref="G26" authorId="2">
      <text>
        <r>
          <rPr>
            <sz val="8"/>
            <rFont val="Tahoma"/>
            <family val="2"/>
          </rPr>
          <t>Includes long-term debt and long-term leases.</t>
        </r>
      </text>
    </comment>
    <comment ref="G27" authorId="2">
      <text>
        <r>
          <rPr>
            <sz val="8"/>
            <rFont val="Tahoma"/>
            <family val="2"/>
          </rPr>
          <t>Includes: Accounts payable, Notes Payable, and other current assets.</t>
        </r>
      </text>
    </comment>
    <comment ref="G29" authorId="2">
      <text>
        <r>
          <rPr>
            <sz val="8"/>
            <rFont val="Tahoma"/>
            <family val="2"/>
          </rPr>
          <t>Cash flow from operations aside from net income.  Includes Depreciation, increases to accounts payable, increases in accounts receivable, and increases in inventory.</t>
        </r>
      </text>
    </comment>
    <comment ref="E42" authorId="1">
      <text>
        <r>
          <rPr>
            <sz val="8"/>
            <rFont val="Tahoma"/>
            <family val="0"/>
          </rPr>
          <t>Discount rate for equity investments</t>
        </r>
      </text>
    </comment>
    <comment ref="G36" authorId="1">
      <text>
        <r>
          <rPr>
            <b/>
            <sz val="8"/>
            <rFont val="Tahoma"/>
            <family val="0"/>
          </rPr>
          <t xml:space="preserve">units of product (for manufacturing)
</t>
        </r>
      </text>
    </comment>
    <comment ref="G37" authorId="1">
      <text>
        <r>
          <rPr>
            <b/>
            <sz val="8"/>
            <rFont val="Tahoma"/>
            <family val="0"/>
          </rPr>
          <t>Market price for product</t>
        </r>
      </text>
    </comment>
    <comment ref="B40" authorId="1">
      <text>
        <r>
          <rPr>
            <b/>
            <sz val="8"/>
            <rFont val="Tahoma"/>
            <family val="0"/>
          </rPr>
          <t>enter inflation figure to escalate costs</t>
        </r>
      </text>
    </comment>
    <comment ref="B46" authorId="1">
      <text>
        <r>
          <rPr>
            <b/>
            <sz val="8"/>
            <rFont val="Tahoma"/>
            <family val="0"/>
          </rPr>
          <t>O&amp;M Costs for facility when facility finances -- as percentage of total savings</t>
        </r>
      </text>
    </comment>
    <comment ref="B3" authorId="0">
      <text>
        <r>
          <rPr>
            <sz val="8"/>
            <rFont val="Tahoma"/>
            <family val="0"/>
          </rPr>
          <t>Enter efficiency measure name in the yellow colored cells.</t>
        </r>
      </text>
    </comment>
    <comment ref="C3" authorId="0">
      <text>
        <r>
          <rPr>
            <sz val="8"/>
            <rFont val="Tahoma"/>
            <family val="0"/>
          </rPr>
          <t>Enter actual installed equipment costs, including shipping, taxes, installation.</t>
        </r>
      </text>
    </comment>
    <comment ref="D3" authorId="0">
      <text>
        <r>
          <rPr>
            <sz val="8"/>
            <rFont val="Tahoma"/>
            <family val="0"/>
          </rPr>
          <t>Enter annual total dollar value of electric energy cost savings for each measure.  If a penalty is incurred, enter a negative number.</t>
        </r>
      </text>
    </comment>
    <comment ref="E3" authorId="0">
      <text>
        <r>
          <rPr>
            <sz val="8"/>
            <rFont val="Tahoma"/>
            <family val="0"/>
          </rPr>
          <t xml:space="preserve">Enter annual total dollar value fuel cost savings for each mesaure.
</t>
        </r>
      </text>
    </comment>
    <comment ref="F3" authorId="0">
      <text>
        <r>
          <rPr>
            <sz val="8"/>
            <rFont val="Tahoma"/>
            <family val="0"/>
          </rPr>
          <t>Enter maintenance cost savings for each measure.</t>
        </r>
      </text>
    </comment>
    <comment ref="G3" authorId="1">
      <text>
        <r>
          <rPr>
            <b/>
            <sz val="8"/>
            <rFont val="Tahoma"/>
            <family val="0"/>
          </rPr>
          <t>Enter savings anticipated during implementation -- before construction ends</t>
        </r>
      </text>
    </comment>
    <comment ref="H3" authorId="1">
      <text>
        <r>
          <rPr>
            <b/>
            <sz val="8"/>
            <rFont val="Tahoma"/>
            <family val="0"/>
          </rPr>
          <t>Enter years of operating life of each measure if other than 10 years(default value and maximum 10)</t>
        </r>
      </text>
    </comment>
    <comment ref="B48" authorId="1">
      <text>
        <r>
          <rPr>
            <b/>
            <sz val="8"/>
            <rFont val="Tahoma"/>
            <family val="0"/>
          </rPr>
          <t>M&amp;V Costs for facility in lump-sum contract (optional)</t>
        </r>
      </text>
    </comment>
    <comment ref="E43" authorId="2">
      <text>
        <r>
          <rPr>
            <b/>
            <sz val="8"/>
            <rFont val="Tahoma"/>
            <family val="0"/>
          </rPr>
          <t>As a percentage of total loan value.</t>
        </r>
        <r>
          <rPr>
            <sz val="8"/>
            <rFont val="Tahoma"/>
            <family val="0"/>
          </rPr>
          <t xml:space="preserve">
</t>
        </r>
      </text>
    </comment>
    <comment ref="I18" authorId="1">
      <text>
        <r>
          <rPr>
            <b/>
            <sz val="8"/>
            <rFont val="Tahoma"/>
            <family val="0"/>
          </rPr>
          <t>gross revenue</t>
        </r>
      </text>
    </comment>
    <comment ref="I19" authorId="1">
      <text>
        <r>
          <rPr>
            <b/>
            <sz val="8"/>
            <rFont val="Tahoma"/>
            <family val="0"/>
          </rPr>
          <t>Should include cost of goods sold, and other operating costs:  overhead, G&amp;A</t>
        </r>
      </text>
    </comment>
    <comment ref="I26" authorId="2">
      <text>
        <r>
          <rPr>
            <sz val="8"/>
            <rFont val="Tahoma"/>
            <family val="2"/>
          </rPr>
          <t>Includes long-term debt and long-term leases.</t>
        </r>
      </text>
    </comment>
    <comment ref="I27" authorId="2">
      <text>
        <r>
          <rPr>
            <sz val="8"/>
            <rFont val="Tahoma"/>
            <family val="2"/>
          </rPr>
          <t>Includes: Accounts payable, Notes Payable, and other current assets.</t>
        </r>
      </text>
    </comment>
    <comment ref="I29" authorId="2">
      <text>
        <r>
          <rPr>
            <sz val="8"/>
            <rFont val="Tahoma"/>
            <family val="2"/>
          </rPr>
          <t>Cash flow from operations aside from net income.  Includes  increases to accounts payable, increases in accounts receivable, and increases in inventory.</t>
        </r>
      </text>
    </comment>
    <comment ref="I37" authorId="2">
      <text>
        <r>
          <rPr>
            <b/>
            <sz val="8"/>
            <rFont val="Tahoma"/>
            <family val="0"/>
          </rPr>
          <t>Percentage of the annual energy savings.
Cannot be higher then the cost charged to the Project/SPE.</t>
        </r>
      </text>
    </comment>
    <comment ref="I38" authorId="2">
      <text>
        <r>
          <rPr>
            <b/>
            <sz val="8"/>
            <rFont val="Tahoma"/>
            <family val="0"/>
          </rPr>
          <t>Percentage of the annual energy savings.
Cannot be higher then the cost charged to the Project/SPE.</t>
        </r>
      </text>
    </comment>
  </commentList>
</comments>
</file>

<file path=xl/comments3.xml><?xml version="1.0" encoding="utf-8"?>
<comments xmlns="http://schemas.openxmlformats.org/spreadsheetml/2006/main">
  <authors>
    <author>A satisfied Microsoft Office user</author>
    <author>Frederick P Renner</author>
    <author>Philip Doyle</author>
  </authors>
  <commentList>
    <comment ref="B7" authorId="0">
      <text>
        <r>
          <rPr>
            <sz val="8"/>
            <rFont val="Tahoma"/>
            <family val="0"/>
          </rPr>
          <t>Enter hard costs on EEM sheet.  Project cost shown here includes hard and soft costs but no profit.</t>
        </r>
      </text>
    </comment>
    <comment ref="I8" authorId="0">
      <text>
        <r>
          <rPr>
            <sz val="8"/>
            <rFont val="Tahoma"/>
            <family val="0"/>
          </rPr>
          <t>Percentage of savings which go to ESCO up to projected savings.</t>
        </r>
      </text>
    </comment>
    <comment ref="I10" authorId="0">
      <text>
        <r>
          <rPr>
            <sz val="8"/>
            <rFont val="Tahoma"/>
            <family val="0"/>
          </rPr>
          <t>Savings generated and shared during construction period when first measures come online.  Enter actual savings in "EEMs" worksheet.</t>
        </r>
      </text>
    </comment>
    <comment ref="I11" authorId="0">
      <text>
        <r>
          <rPr>
            <sz val="8"/>
            <rFont val="Tahoma"/>
            <family val="0"/>
          </rPr>
          <t>Check the box if maintenance savings are shared with ESCO.  Share of maintenance savings will be same as share of energy savings.</t>
        </r>
      </text>
    </comment>
    <comment ref="I14" authorId="0">
      <text>
        <r>
          <rPr>
            <sz val="8"/>
            <rFont val="Tahoma"/>
            <family val="0"/>
          </rPr>
          <t>Set each escalator based on projected annual increases in energy and maintenance costs.  Alternatively, set each cell equal to annual inflation input in Financial Assumptions box.</t>
        </r>
      </text>
    </comment>
    <comment ref="B13" authorId="0">
      <text>
        <r>
          <rPr>
            <sz val="8"/>
            <rFont val="Tahoma"/>
            <family val="0"/>
          </rPr>
          <t>Choose "Level Payment" for fixed principal and interest payment or "Level Principal" for fixed principal and declining total payment.</t>
        </r>
      </text>
    </comment>
    <comment ref="B20" authorId="0">
      <text>
        <r>
          <rPr>
            <sz val="8"/>
            <rFont val="Tahoma"/>
            <family val="0"/>
          </rPr>
          <t>Check box if construction loan is used.  Construction loan is bridge financing which covers equip., contingency, CM, audit, and engineering costs, but not other soft costs.</t>
        </r>
      </text>
    </comment>
    <comment ref="I25" authorId="0">
      <text>
        <r>
          <rPr>
            <sz val="8"/>
            <rFont val="Tahoma"/>
            <family val="0"/>
          </rPr>
          <t xml:space="preserve">Set depreciation period </t>
        </r>
      </text>
    </comment>
    <comment ref="I26" authorId="0">
      <text>
        <r>
          <rPr>
            <sz val="8"/>
            <rFont val="Tahoma"/>
            <family val="0"/>
          </rPr>
          <t>Choose between different depreciation schedules:  Stright Line; Sum of Years Digits; or Double Declining Balance.</t>
        </r>
      </text>
    </comment>
    <comment ref="I27" authorId="0">
      <text>
        <r>
          <rPr>
            <sz val="8"/>
            <rFont val="Tahoma"/>
            <family val="0"/>
          </rPr>
          <t>Enter a salvage value for the equipment if it can be sold after the contract period.  Usually the value will be zero.</t>
        </r>
      </text>
    </comment>
    <comment ref="I28" authorId="0">
      <text>
        <r>
          <rPr>
            <sz val="8"/>
            <rFont val="Tahoma"/>
            <family val="0"/>
          </rPr>
          <t xml:space="preserve">In most cases project may generate maintenance savings; in some cases additional charges will accrue to ESCO.  If additional O&amp;M charges, enter these in "Cost &amp; Savings" worksheet.
</t>
        </r>
      </text>
    </comment>
    <comment ref="I30" authorId="0">
      <text>
        <r>
          <rPr>
            <sz val="8"/>
            <rFont val="Tahoma"/>
            <family val="0"/>
          </rPr>
          <t xml:space="preserve">Monitoring and evaluation costs, usually payable by the ESCO during the contract period.
</t>
        </r>
      </text>
    </comment>
    <comment ref="E6" authorId="0">
      <text>
        <r>
          <rPr>
            <sz val="8"/>
            <rFont val="Tahoma"/>
            <family val="0"/>
          </rPr>
          <t xml:space="preserve">Input individual hard costs in "EEMs" worksheet.  
</t>
        </r>
      </text>
    </comment>
    <comment ref="E8" authorId="0">
      <text>
        <r>
          <rPr>
            <sz val="8"/>
            <rFont val="Tahoma"/>
            <family val="0"/>
          </rPr>
          <t>Contingency costs as a percentage of hard costs.</t>
        </r>
      </text>
    </comment>
    <comment ref="E14" authorId="0">
      <text>
        <r>
          <rPr>
            <sz val="8"/>
            <rFont val="Tahoma"/>
            <family val="0"/>
          </rPr>
          <t>Fee paid to ESCO for managing the construction under the performance contract.  Enter as a percent of hard costs.</t>
        </r>
      </text>
    </comment>
    <comment ref="E12" authorId="0">
      <text>
        <r>
          <rPr>
            <sz val="8"/>
            <rFont val="Tahoma"/>
            <family val="0"/>
          </rPr>
          <t>Enter actual cost of technical audit.</t>
        </r>
      </text>
    </comment>
    <comment ref="E13" authorId="0">
      <text>
        <r>
          <rPr>
            <sz val="8"/>
            <rFont val="Tahoma"/>
            <family val="0"/>
          </rPr>
          <t>Enter engineering costs as a percentage of hard costs.  This cost covers engineering design work, and is usually about 10 percent of hard costs.</t>
        </r>
      </text>
    </comment>
    <comment ref="E17" authorId="0">
      <text>
        <r>
          <rPr>
            <sz val="8"/>
            <rFont val="Tahoma"/>
            <family val="0"/>
          </rPr>
          <t>Enter any other costs incurred by the ESCO which can be recovered under the contract and which can be financed.</t>
        </r>
      </text>
    </comment>
    <comment ref="E18" authorId="0">
      <text>
        <r>
          <rPr>
            <sz val="8"/>
            <rFont val="Tahoma"/>
            <family val="0"/>
          </rPr>
          <t>Marketing fee is usually 5% of Hard costs plus contingency plus subtotal Soft Costs (CM, engineering, design)</t>
        </r>
      </text>
    </comment>
    <comment ref="E19" authorId="0">
      <text>
        <r>
          <rPr>
            <sz val="8"/>
            <rFont val="Tahoma"/>
            <family val="0"/>
          </rPr>
          <t>Fee paid to the ESCO for managing the project, entered as a percent of hard costs.</t>
        </r>
      </text>
    </comment>
    <comment ref="E20" authorId="0">
      <text>
        <r>
          <rPr>
            <sz val="8"/>
            <rFont val="Tahoma"/>
            <family val="0"/>
          </rPr>
          <t>Legal costs incurred by the ESCO, usually related to development and execution of the performance contract.</t>
        </r>
      </text>
    </comment>
    <comment ref="E21" authorId="0">
      <text>
        <r>
          <rPr>
            <sz val="8"/>
            <rFont val="Tahoma"/>
            <family val="0"/>
          </rPr>
          <t>Interest accrued during construction by the ESCO based on the bridge financing terms.  Usually considered part of soft costs which can be rolled over and financed in the long-term loan.</t>
        </r>
      </text>
    </comment>
    <comment ref="E25" authorId="0">
      <text>
        <r>
          <rPr>
            <sz val="8"/>
            <rFont val="Tahoma"/>
            <family val="0"/>
          </rPr>
          <t>The profit target is the profit requested by the ESCO to the customer on a turnkey, lump-sum contract.  This is not a factor in the performance contract.  Profit is not charged on IDC or services tax.</t>
        </r>
      </text>
    </comment>
    <comment ref="B12" authorId="1">
      <text>
        <r>
          <rPr>
            <sz val="8"/>
            <rFont val="Tahoma"/>
            <family val="0"/>
          </rPr>
          <t xml:space="preserve">Enter number of years for which no Principle payment to be made.  Assume no longer than 3 years </t>
        </r>
      </text>
    </comment>
    <comment ref="B9" authorId="1">
      <text>
        <r>
          <rPr>
            <b/>
            <sz val="8"/>
            <rFont val="Tahoma"/>
            <family val="0"/>
          </rPr>
          <t>Total amount of project loan taken out by ESCO</t>
        </r>
      </text>
    </comment>
    <comment ref="G15" authorId="1">
      <text>
        <r>
          <rPr>
            <b/>
            <sz val="8"/>
            <rFont val="Tahoma"/>
            <family val="0"/>
          </rPr>
          <t>as percentage of hard costs</t>
        </r>
      </text>
    </comment>
    <comment ref="G22" authorId="1">
      <text>
        <r>
          <rPr>
            <b/>
            <sz val="8"/>
            <rFont val="Tahoma"/>
            <family val="0"/>
          </rPr>
          <t>as percentage of hard and soft costs</t>
        </r>
      </text>
    </comment>
    <comment ref="B15" authorId="1">
      <text>
        <r>
          <rPr>
            <sz val="8"/>
            <rFont val="Tahoma"/>
            <family val="2"/>
          </rPr>
          <t>Cash flow from operations, before interest, divided by total debt service</t>
        </r>
      </text>
    </comment>
    <comment ref="B39" authorId="1">
      <text>
        <r>
          <rPr>
            <b/>
            <sz val="8"/>
            <rFont val="Tahoma"/>
            <family val="0"/>
          </rPr>
          <t>gross revenue</t>
        </r>
      </text>
    </comment>
    <comment ref="B40" authorId="1">
      <text>
        <r>
          <rPr>
            <b/>
            <sz val="8"/>
            <rFont val="Tahoma"/>
            <family val="0"/>
          </rPr>
          <t>Should include cost of goods sold, and other operating costs:  overhead, G&amp;A</t>
        </r>
      </text>
    </comment>
    <comment ref="B47" authorId="2">
      <text>
        <r>
          <rPr>
            <sz val="8"/>
            <rFont val="Tahoma"/>
            <family val="2"/>
          </rPr>
          <t>Includes long-term debt and long-term leases.</t>
        </r>
      </text>
    </comment>
    <comment ref="B48" authorId="2">
      <text>
        <r>
          <rPr>
            <sz val="8"/>
            <rFont val="Tahoma"/>
            <family val="2"/>
          </rPr>
          <t>Includes: Accounts payable, Notes Payable, and other current assets.</t>
        </r>
      </text>
    </comment>
    <comment ref="B50" authorId="2">
      <text>
        <r>
          <rPr>
            <sz val="8"/>
            <rFont val="Tahoma"/>
            <family val="2"/>
          </rPr>
          <t>Cash flow from operations aside from net income.  Includes  increases to accounts payable, increases in accounts receivable, and increases in inventory.</t>
        </r>
      </text>
    </comment>
    <comment ref="E39" authorId="1">
      <text>
        <r>
          <rPr>
            <b/>
            <sz val="8"/>
            <rFont val="Tahoma"/>
            <family val="0"/>
          </rPr>
          <t>gross revenue</t>
        </r>
      </text>
    </comment>
    <comment ref="E40" authorId="1">
      <text>
        <r>
          <rPr>
            <b/>
            <sz val="8"/>
            <rFont val="Tahoma"/>
            <family val="0"/>
          </rPr>
          <t>Should include cost of goods sold, and other operating costs:  overhead, G&amp;A</t>
        </r>
      </text>
    </comment>
    <comment ref="E47" authorId="2">
      <text>
        <r>
          <rPr>
            <sz val="8"/>
            <rFont val="Tahoma"/>
            <family val="2"/>
          </rPr>
          <t>Includes long-term debt and long-term leases.</t>
        </r>
      </text>
    </comment>
    <comment ref="E48" authorId="2">
      <text>
        <r>
          <rPr>
            <sz val="8"/>
            <rFont val="Tahoma"/>
            <family val="2"/>
          </rPr>
          <t>Includes: Accounts payable, Notes Payable, and other current assets.</t>
        </r>
      </text>
    </comment>
    <comment ref="E50" authorId="2">
      <text>
        <r>
          <rPr>
            <sz val="8"/>
            <rFont val="Tahoma"/>
            <family val="2"/>
          </rPr>
          <t>Cash flow from operations aside from net income.  Includes Depreciation, increases to accounts payable, increases in accounts receivable, and increases in inventory.</t>
        </r>
      </text>
    </comment>
    <comment ref="B18" authorId="1">
      <text>
        <r>
          <rPr>
            <sz val="8"/>
            <rFont val="Tahoma"/>
            <family val="0"/>
          </rPr>
          <t>Discount rate for equity investments</t>
        </r>
      </text>
    </comment>
    <comment ref="E57" authorId="1">
      <text>
        <r>
          <rPr>
            <b/>
            <sz val="8"/>
            <rFont val="Tahoma"/>
            <family val="0"/>
          </rPr>
          <t xml:space="preserve">units of product (for manufacturing)
</t>
        </r>
      </text>
    </comment>
    <comment ref="E58" authorId="1">
      <text>
        <r>
          <rPr>
            <b/>
            <sz val="8"/>
            <rFont val="Tahoma"/>
            <family val="0"/>
          </rPr>
          <t>Market price for product</t>
        </r>
      </text>
    </comment>
    <comment ref="I20" authorId="1">
      <text>
        <r>
          <rPr>
            <b/>
            <sz val="8"/>
            <rFont val="Tahoma"/>
            <family val="0"/>
          </rPr>
          <t>enter inflation figure to escalate costs</t>
        </r>
      </text>
    </comment>
    <comment ref="I29" authorId="1">
      <text>
        <r>
          <rPr>
            <b/>
            <sz val="8"/>
            <rFont val="Tahoma"/>
            <family val="0"/>
          </rPr>
          <t>O&amp;M Costs for facility when facility finances -- as percentage of total savings</t>
        </r>
      </text>
    </comment>
    <comment ref="B19" authorId="2">
      <text>
        <r>
          <rPr>
            <b/>
            <sz val="8"/>
            <rFont val="Tahoma"/>
            <family val="0"/>
          </rPr>
          <t>As a percentage of total loan value.</t>
        </r>
        <r>
          <rPr>
            <sz val="8"/>
            <rFont val="Tahoma"/>
            <family val="0"/>
          </rPr>
          <t xml:space="preserve">
</t>
        </r>
      </text>
    </comment>
    <comment ref="B35" authorId="2">
      <text>
        <r>
          <rPr>
            <b/>
            <sz val="12"/>
            <rFont val="Tahoma"/>
            <family val="2"/>
          </rPr>
          <t>This section refers to the  corporate entities BEFORE they take on the ESCO project investment. This will reflect each corporations' 'other' business activities.</t>
        </r>
        <r>
          <rPr>
            <b/>
            <sz val="8"/>
            <rFont val="Tahoma"/>
            <family val="0"/>
          </rPr>
          <t xml:space="preserve">
</t>
        </r>
      </text>
    </comment>
    <comment ref="B67" authorId="1">
      <text>
        <r>
          <rPr>
            <b/>
            <sz val="8"/>
            <rFont val="Tahoma"/>
            <family val="0"/>
          </rPr>
          <t>Payback on net cash flow, after all costs including debt service</t>
        </r>
      </text>
    </comment>
    <comment ref="B74" authorId="0">
      <text>
        <r>
          <rPr>
            <sz val="8"/>
            <rFont val="Tahoma"/>
            <family val="0"/>
          </rPr>
          <t>This is the sum of the project costs plus the NPV of the ESCO's cash flow stream.  This occurs when the ESCO enters into a performance contract.</t>
        </r>
      </text>
    </comment>
    <comment ref="B75" authorId="0">
      <text>
        <r>
          <rPr>
            <sz val="8"/>
            <rFont val="Tahoma"/>
            <family val="0"/>
          </rPr>
          <t>This is the total price paid by the customer to the ESCO on a lump sum basis for installing the project.  This may be in the form of a guaranteed savings contract.   It covers the cost of the project (hard &amp; soft costs) as well as the ESCO's profit.  Compare this with the performance contract amount.</t>
        </r>
      </text>
    </comment>
    <comment ref="E78" authorId="0">
      <text>
        <r>
          <rPr>
            <sz val="8"/>
            <rFont val="Tahoma"/>
            <family val="0"/>
          </rPr>
          <t>Includes equipment and overhead but not profit (hard and soft costs).  Usually financed with both debt and equity.</t>
        </r>
      </text>
    </comment>
    <comment ref="E72" authorId="1">
      <text>
        <r>
          <rPr>
            <b/>
            <sz val="8"/>
            <rFont val="Tahoma"/>
            <family val="0"/>
          </rPr>
          <t>Customer often wants to know what the project is effectively costing it in financial terms, even if the ESCO finances the project.  In this case we treat the ESCO as a bank, with the shared savings representing debt service, the contract representing the loan tenor, and the lump-sum contract cost representing the principle.</t>
        </r>
      </text>
    </comment>
    <comment ref="I68" authorId="1">
      <text>
        <r>
          <rPr>
            <b/>
            <sz val="8"/>
            <rFont val="Tahoma"/>
            <family val="0"/>
          </rPr>
          <t>Payback on net cash flow, after all costs including debt service</t>
        </r>
      </text>
    </comment>
    <comment ref="I72" authorId="0">
      <text>
        <r>
          <rPr>
            <sz val="8"/>
            <rFont val="Tahoma"/>
            <family val="0"/>
          </rPr>
          <t>This is the sum of the project costs plus the NPV of the ESCO's cash flow stream.  This occurs when the ESCO enters into a performance contract.</t>
        </r>
      </text>
    </comment>
  </commentList>
</comments>
</file>

<file path=xl/comments4.xml><?xml version="1.0" encoding="utf-8"?>
<comments xmlns="http://schemas.openxmlformats.org/spreadsheetml/2006/main">
  <authors>
    <author>A satisfied Microsoft Office user</author>
    <author>Philip Doyle</author>
    <author>Frederick P Renner</author>
  </authors>
  <commentList>
    <comment ref="C19" authorId="0">
      <text>
        <r>
          <rPr>
            <sz val="8"/>
            <rFont val="Tahoma"/>
            <family val="0"/>
          </rPr>
          <t>This is the total price paid by the customer to the ESCO on a lump sum basis for installing the project.  This may be in the form of a guaranteed savings contract.   It covers the cost of the project (hard &amp; soft costs) as well as the ESCO's profit.  Compare this with the performance contract amount.</t>
        </r>
      </text>
    </comment>
    <comment ref="C18" authorId="0">
      <text>
        <r>
          <rPr>
            <sz val="8"/>
            <rFont val="Tahoma"/>
            <family val="0"/>
          </rPr>
          <t>This is the sum of the project costs plus the NPV of the ESCO's cash flow stream.  This occurs when the ESCO enters into a performance contract.</t>
        </r>
      </text>
    </comment>
    <comment ref="C4" authorId="0">
      <text>
        <r>
          <rPr>
            <sz val="8"/>
            <rFont val="Tahoma"/>
            <family val="0"/>
          </rPr>
          <t>Includes equipment and overhead but not profit (hard and soft costs).  Usually financed with both debt and equity.</t>
        </r>
      </text>
    </comment>
    <comment ref="C44" authorId="0">
      <text>
        <r>
          <rPr>
            <sz val="8"/>
            <rFont val="Tahoma"/>
            <family val="0"/>
          </rPr>
          <t xml:space="preserve">Includes construction debt interest for tax purposes.
</t>
        </r>
      </text>
    </comment>
    <comment ref="C97" authorId="1">
      <text>
        <r>
          <rPr>
            <sz val="8"/>
            <rFont val="Tahoma"/>
            <family val="2"/>
          </rPr>
          <t>Includes value of Energy Efficiency measures</t>
        </r>
      </text>
    </comment>
    <comment ref="C101" authorId="1">
      <text>
        <r>
          <rPr>
            <sz val="8"/>
            <rFont val="Tahoma"/>
            <family val="2"/>
          </rPr>
          <t>Includes long-term debt and long-term leases.</t>
        </r>
      </text>
    </comment>
    <comment ref="C102" authorId="1">
      <text>
        <r>
          <rPr>
            <sz val="8"/>
            <rFont val="Tahoma"/>
            <family val="2"/>
          </rPr>
          <t>Includes: Accounts payable, Notes Payable, and other current assets.</t>
        </r>
      </text>
    </comment>
    <comment ref="C110" authorId="1">
      <text>
        <r>
          <rPr>
            <sz val="8"/>
            <rFont val="Tahoma"/>
            <family val="2"/>
          </rPr>
          <t>Includes increases to accounts payable, increases in accounts receivable, and increases in inventory.</t>
        </r>
      </text>
    </comment>
    <comment ref="C111" authorId="1">
      <text>
        <r>
          <rPr>
            <sz val="8"/>
            <rFont val="Tahoma"/>
            <family val="2"/>
          </rPr>
          <t>includes costs associated energy efficiency improvements</t>
        </r>
      </text>
    </comment>
    <comment ref="C11" authorId="2">
      <text>
        <r>
          <rPr>
            <b/>
            <sz val="8"/>
            <rFont val="Tahoma"/>
            <family val="0"/>
          </rPr>
          <t>Payback on net cash flow, after all costs including debt service</t>
        </r>
      </text>
    </comment>
  </commentList>
</comments>
</file>

<file path=xl/comments5.xml><?xml version="1.0" encoding="utf-8"?>
<comments xmlns="http://schemas.openxmlformats.org/spreadsheetml/2006/main">
  <authors>
    <author>A satisfied Microsoft Office user</author>
    <author>Philip Doyle</author>
    <author>Frederick P Renner</author>
  </authors>
  <commentList>
    <comment ref="C20" authorId="0">
      <text>
        <r>
          <rPr>
            <sz val="8"/>
            <rFont val="Tahoma"/>
            <family val="0"/>
          </rPr>
          <t>This is the total price paid by the customer to the ESCO on a lump sum basis for installing the project.  This may be in the form of a guaranteed savings contract.   It covers the cost of the project (hard &amp; soft costs) as well as the ESCO's profit.  Compare this with the performance contract amount.</t>
        </r>
      </text>
    </comment>
    <comment ref="C16" authorId="0">
      <text>
        <r>
          <rPr>
            <sz val="8"/>
            <rFont val="Tahoma"/>
            <family val="0"/>
          </rPr>
          <t>This is the sum of the project costs plus the NPV of the ESCO's cash flow stream.  This occurs when the ESCO enters into a performance contract.</t>
        </r>
      </text>
    </comment>
    <comment ref="C4" authorId="0">
      <text>
        <r>
          <rPr>
            <sz val="8"/>
            <rFont val="Tahoma"/>
            <family val="0"/>
          </rPr>
          <t>Includes equipment and overhead but not profit (hard and soft costs).  Usually financed with both debt and equity.</t>
        </r>
      </text>
    </comment>
    <comment ref="C92" authorId="1">
      <text>
        <r>
          <rPr>
            <sz val="8"/>
            <rFont val="Tahoma"/>
            <family val="2"/>
          </rPr>
          <t>Includes value of Energy Efficiency measures</t>
        </r>
      </text>
    </comment>
    <comment ref="C96" authorId="1">
      <text>
        <r>
          <rPr>
            <sz val="8"/>
            <rFont val="Tahoma"/>
            <family val="2"/>
          </rPr>
          <t>Includes long-term debt and long-term leases.</t>
        </r>
      </text>
    </comment>
    <comment ref="C97" authorId="1">
      <text>
        <r>
          <rPr>
            <sz val="8"/>
            <rFont val="Tahoma"/>
            <family val="2"/>
          </rPr>
          <t>Includes: Accounts payable, Notes Payable, and other current assets.</t>
        </r>
      </text>
    </comment>
    <comment ref="C105" authorId="1">
      <text>
        <r>
          <rPr>
            <sz val="8"/>
            <rFont val="Tahoma"/>
            <family val="2"/>
          </rPr>
          <t>Includes increases to accounts payable, increases in accounts receivable, and increases in inventory.</t>
        </r>
      </text>
    </comment>
    <comment ref="C106" authorId="1">
      <text>
        <r>
          <rPr>
            <sz val="8"/>
            <rFont val="Tahoma"/>
            <family val="2"/>
          </rPr>
          <t>includes costs associated energy efficiency improvements</t>
        </r>
      </text>
    </comment>
    <comment ref="C12" authorId="2">
      <text>
        <r>
          <rPr>
            <b/>
            <sz val="8"/>
            <rFont val="Tahoma"/>
            <family val="0"/>
          </rPr>
          <t>Payback on net cash flow, after all costs including debt service</t>
        </r>
      </text>
    </comment>
  </commentList>
</comments>
</file>

<file path=xl/comments6.xml><?xml version="1.0" encoding="utf-8"?>
<comments xmlns="http://schemas.openxmlformats.org/spreadsheetml/2006/main">
  <authors>
    <author>A satisfied Microsoft Office user</author>
    <author>Frederick P Renner</author>
    <author>Philip Doyle</author>
  </authors>
  <commentList>
    <comment ref="C9" authorId="0">
      <text>
        <r>
          <rPr>
            <sz val="8"/>
            <rFont val="Tahoma"/>
            <family val="0"/>
          </rPr>
          <t>Price quoted to customer if ESCO performs project as a general contractor and does not finance the project.</t>
        </r>
      </text>
    </comment>
    <comment ref="C21" authorId="1">
      <text>
        <r>
          <rPr>
            <b/>
            <sz val="8"/>
            <rFont val="Tahoma"/>
            <family val="0"/>
          </rPr>
          <t>Customer often wants to know what the project is effectively costing it in financial terms, even if the ESCO finances the project.  In this case we treat the ESCO as a bank, with the shared savings representing debt service, the contract representing the loan tenor, and the lump-sum contract cost representing the principle.</t>
        </r>
      </text>
    </comment>
    <comment ref="C45" authorId="0">
      <text>
        <r>
          <rPr>
            <sz val="8"/>
            <rFont val="Tahoma"/>
            <family val="0"/>
          </rPr>
          <t xml:space="preserve">Includes construction debt interest for tax purposes.
</t>
        </r>
      </text>
    </comment>
    <comment ref="C94" authorId="2">
      <text>
        <r>
          <rPr>
            <sz val="8"/>
            <rFont val="Tahoma"/>
            <family val="2"/>
          </rPr>
          <t>Includes value of Energy Efficiency measures</t>
        </r>
      </text>
    </comment>
    <comment ref="C98" authorId="2">
      <text>
        <r>
          <rPr>
            <sz val="8"/>
            <rFont val="Tahoma"/>
            <family val="2"/>
          </rPr>
          <t>Includes long-term debt and long-term leases.</t>
        </r>
      </text>
    </comment>
    <comment ref="C99" authorId="2">
      <text>
        <r>
          <rPr>
            <sz val="8"/>
            <rFont val="Tahoma"/>
            <family val="2"/>
          </rPr>
          <t>Includes: Accounts payable, Notes Payable, and other current assets.</t>
        </r>
      </text>
    </comment>
    <comment ref="C107" authorId="2">
      <text>
        <r>
          <rPr>
            <sz val="8"/>
            <rFont val="Tahoma"/>
            <family val="2"/>
          </rPr>
          <t>Includes increases to accounts payable, increases in accounts receivable, and increases in inventory.</t>
        </r>
      </text>
    </comment>
    <comment ref="C108" authorId="2">
      <text>
        <r>
          <rPr>
            <sz val="8"/>
            <rFont val="Tahoma"/>
            <family val="2"/>
          </rPr>
          <t>includes costs associated energy efficiency improvements</t>
        </r>
      </text>
    </comment>
  </commentList>
</comments>
</file>

<file path=xl/comments7.xml><?xml version="1.0" encoding="utf-8"?>
<comments xmlns="http://schemas.openxmlformats.org/spreadsheetml/2006/main">
  <authors>
    <author>A satisfied Microsoft Office user</author>
    <author>Frederick P Renner</author>
  </authors>
  <commentList>
    <comment ref="C46" authorId="0">
      <text>
        <r>
          <rPr>
            <sz val="8"/>
            <rFont val="Tahoma"/>
            <family val="0"/>
          </rPr>
          <t>Includes equipment and overhead but not profit (hard and soft costs).  Usually financed with both debt and equity.</t>
        </r>
      </text>
    </comment>
    <comment ref="C5" authorId="1">
      <text>
        <r>
          <rPr>
            <b/>
            <sz val="8"/>
            <rFont val="Tahoma"/>
            <family val="0"/>
          </rPr>
          <t>Payback on net cash flow, after all costs including debt service</t>
        </r>
      </text>
    </comment>
    <comment ref="C12" authorId="0">
      <text>
        <r>
          <rPr>
            <sz val="8"/>
            <rFont val="Tahoma"/>
            <family val="0"/>
          </rPr>
          <t>This is the sum of the project costs plus the NPV of the ESCO's cash flow stream.  This occurs when the ESCO enters into a performance contract.</t>
        </r>
      </text>
    </comment>
    <comment ref="C13" authorId="0">
      <text>
        <r>
          <rPr>
            <sz val="8"/>
            <rFont val="Tahoma"/>
            <family val="0"/>
          </rPr>
          <t>This is the total price paid by the customer to the ESCO on a lump sum basis for installing the project.  This may be in the form of a guaranteed savings contract.   It covers the cost of the project (hard &amp; soft costs) as well as the ESCO's profit.  Compare this with the performance contract amount.</t>
        </r>
      </text>
    </comment>
    <comment ref="C22" authorId="1">
      <text>
        <r>
          <rPr>
            <b/>
            <sz val="8"/>
            <rFont val="Tahoma"/>
            <family val="0"/>
          </rPr>
          <t>Customer often wants to know what the project is effectively costing it in financial terms, even if the ESCO finances the project.  In this case we treat the ESCO as a bank, with the shared savings representing debt service, the contract representing the loan tenor, and the lump-sum contract cost representing the principle.</t>
        </r>
      </text>
    </comment>
  </commentList>
</comments>
</file>

<file path=xl/comments8.xml><?xml version="1.0" encoding="utf-8"?>
<comments xmlns="http://schemas.openxmlformats.org/spreadsheetml/2006/main">
  <authors>
    <author>A satisfied Microsoft Office user</author>
    <author>Frederick P Renner</author>
  </authors>
  <commentList>
    <comment ref="B3" authorId="0">
      <text>
        <r>
          <rPr>
            <sz val="8"/>
            <rFont val="Tahoma"/>
            <family val="0"/>
          </rPr>
          <t>Enter efficiency measure name in the yellow colored cells.</t>
        </r>
      </text>
    </comment>
    <comment ref="C3" authorId="0">
      <text>
        <r>
          <rPr>
            <sz val="8"/>
            <rFont val="Tahoma"/>
            <family val="0"/>
          </rPr>
          <t>Enter actual installed equipment costs, including shipping, taxes, installation.</t>
        </r>
      </text>
    </comment>
    <comment ref="F3" authorId="0">
      <text>
        <r>
          <rPr>
            <sz val="8"/>
            <rFont val="Tahoma"/>
            <family val="0"/>
          </rPr>
          <t>Enter electric energy cost savings for each measure.  If a penalty is incurred, enter a negative number.</t>
        </r>
      </text>
    </comment>
    <comment ref="G3" authorId="0">
      <text>
        <r>
          <rPr>
            <sz val="8"/>
            <rFont val="Tahoma"/>
            <family val="0"/>
          </rPr>
          <t xml:space="preserve">Enter fuel cost savings for each mesaure.
</t>
        </r>
      </text>
    </comment>
    <comment ref="H3" authorId="0">
      <text>
        <r>
          <rPr>
            <sz val="8"/>
            <rFont val="Tahoma"/>
            <family val="0"/>
          </rPr>
          <t>Enter maintenance cost savings for each measure.</t>
        </r>
      </text>
    </comment>
    <comment ref="I20" authorId="1">
      <text>
        <r>
          <rPr>
            <b/>
            <sz val="8"/>
            <rFont val="Tahoma"/>
            <family val="0"/>
          </rPr>
          <t>assume customer's NPV, using customer's discount rate</t>
        </r>
      </text>
    </comment>
  </commentList>
</comments>
</file>

<file path=xl/comments9.xml><?xml version="1.0" encoding="utf-8"?>
<comments xmlns="http://schemas.openxmlformats.org/spreadsheetml/2006/main">
  <authors>
    <author>A satisfied Microsoft Office user</author>
    <author>Frederick P Renner</author>
  </authors>
  <commentList>
    <comment ref="A15" authorId="0">
      <text>
        <r>
          <rPr>
            <sz val="8"/>
            <rFont val="Tahoma"/>
            <family val="0"/>
          </rPr>
          <t>For debt calculation purposes.</t>
        </r>
      </text>
    </comment>
    <comment ref="A39" authorId="0">
      <text>
        <r>
          <rPr>
            <sz val="8"/>
            <rFont val="Tahoma"/>
            <family val="0"/>
          </rPr>
          <t>Includes hard costs, contingency, engineering, const. mgmt., and technical audit costs.</t>
        </r>
      </text>
    </comment>
    <comment ref="A58" authorId="1">
      <text>
        <r>
          <rPr>
            <b/>
            <sz val="8"/>
            <rFont val="Tahoma"/>
            <family val="0"/>
          </rPr>
          <t>includes total project cost and assumes capitalization of all soft costs</t>
        </r>
      </text>
    </comment>
    <comment ref="A75" authorId="1">
      <text>
        <r>
          <rPr>
            <b/>
            <sz val="8"/>
            <rFont val="Tahoma"/>
            <family val="0"/>
          </rPr>
          <t>includes total project cost and assumes capitalization of all soft costs</t>
        </r>
      </text>
    </comment>
  </commentList>
</comments>
</file>

<file path=xl/sharedStrings.xml><?xml version="1.0" encoding="utf-8"?>
<sst xmlns="http://schemas.openxmlformats.org/spreadsheetml/2006/main" count="951" uniqueCount="404">
  <si>
    <t>Project Cost</t>
  </si>
  <si>
    <t>yrs</t>
  </si>
  <si>
    <t>Projected Savings</t>
  </si>
  <si>
    <t>Debt Ratio</t>
  </si>
  <si>
    <t>Annual Debt Service</t>
  </si>
  <si>
    <t>Savings Split to Client</t>
  </si>
  <si>
    <t>Share Maintenance Savings</t>
  </si>
  <si>
    <t>Energy Escalators for Savings</t>
  </si>
  <si>
    <t xml:space="preserve">  Electric Energy Cost Escalator</t>
  </si>
  <si>
    <t xml:space="preserve">  Fuel Energy Cost Escalator</t>
  </si>
  <si>
    <t xml:space="preserve">  Maintenance Cost Escalator</t>
  </si>
  <si>
    <t>Project Cost (Amount Financed)</t>
  </si>
  <si>
    <t>ESCO Results Summary</t>
  </si>
  <si>
    <t>Construction Loan</t>
  </si>
  <si>
    <t>ESCO Cumulative Net Cash Flow</t>
  </si>
  <si>
    <t>ESCO IRR</t>
  </si>
  <si>
    <t>months</t>
  </si>
  <si>
    <t>NPV for ESCO w/Performance Contract</t>
  </si>
  <si>
    <t>Annual Inflation</t>
  </si>
  <si>
    <t>Cash Profit on Lump Sum Contract</t>
  </si>
  <si>
    <t>Operating Costs</t>
  </si>
  <si>
    <t>Lump Sum Price to Customer</t>
  </si>
  <si>
    <t>Customer Results  Summary</t>
  </si>
  <si>
    <t>Depreciation</t>
  </si>
  <si>
    <t>Depreciation Schedule</t>
  </si>
  <si>
    <t>Equipment Salvage Value</t>
  </si>
  <si>
    <t>O&amp;M Charges</t>
  </si>
  <si>
    <t>M&amp;V Program Term</t>
  </si>
  <si>
    <t>Engineering</t>
  </si>
  <si>
    <t>Equipment Costs</t>
  </si>
  <si>
    <t>% Hard Costs</t>
  </si>
  <si>
    <t>ESCO's Profit</t>
  </si>
  <si>
    <t>Total Turnkey Cost to Customer</t>
  </si>
  <si>
    <t>Contingency</t>
  </si>
  <si>
    <t>Subtotal Hard Costs</t>
  </si>
  <si>
    <t>Construction Mgmt. Fee</t>
  </si>
  <si>
    <t>Technical Audit Cost</t>
  </si>
  <si>
    <t>Payment (Net Payment to ESCO)</t>
  </si>
  <si>
    <t>Other</t>
  </si>
  <si>
    <t>Term (Contract Period)</t>
  </si>
  <si>
    <t>Marketing Fee</t>
  </si>
  <si>
    <t>Principal (Turnkey Cost)</t>
  </si>
  <si>
    <t>Project Management. Fee</t>
  </si>
  <si>
    <t>Effective Interest Rate for Customer</t>
  </si>
  <si>
    <t>Legal</t>
  </si>
  <si>
    <t>Interest During Construction</t>
  </si>
  <si>
    <t>INPUT FOR ENERGY EFFICIENCY MEASURES</t>
  </si>
  <si>
    <t>EEMs</t>
  </si>
  <si>
    <t>Electric Savings</t>
  </si>
  <si>
    <t>Fuel Savings</t>
  </si>
  <si>
    <t>Maintenance Savings</t>
  </si>
  <si>
    <t>Total Savings</t>
  </si>
  <si>
    <t>Simple Payback</t>
  </si>
  <si>
    <t>Hcost</t>
  </si>
  <si>
    <t>Total/Average</t>
  </si>
  <si>
    <t>Interim Savings</t>
  </si>
  <si>
    <t>COST WORKSHEET (NO INPUTS REQUIRED)</t>
  </si>
  <si>
    <t>SAVINGS CALCULATIONS (NO INPUTS REQUIRED)</t>
  </si>
  <si>
    <t>% Margin</t>
  </si>
  <si>
    <t>Price Escalators</t>
  </si>
  <si>
    <t>Year</t>
  </si>
  <si>
    <t>Total</t>
  </si>
  <si>
    <t>Electric</t>
  </si>
  <si>
    <t>HCCost</t>
  </si>
  <si>
    <t>Fuel</t>
  </si>
  <si>
    <t>Electric Energy</t>
  </si>
  <si>
    <t>Soft Costs</t>
  </si>
  <si>
    <t>Maintenance</t>
  </si>
  <si>
    <t>Fuel Energy</t>
  </si>
  <si>
    <t>ESCO Const Management</t>
  </si>
  <si>
    <t>O&amp;M</t>
  </si>
  <si>
    <t>ESCO Technical Audit</t>
  </si>
  <si>
    <t>Savings Split</t>
  </si>
  <si>
    <t>Total Projected Savings</t>
  </si>
  <si>
    <t>ESCO Engineering</t>
  </si>
  <si>
    <t>SSCost</t>
  </si>
  <si>
    <t>Subtotal Soft Costs</t>
  </si>
  <si>
    <t>ESCO Savings</t>
  </si>
  <si>
    <t>Client Savings</t>
  </si>
  <si>
    <t>ESCO PM Fee</t>
  </si>
  <si>
    <t>ESCO Interim Savings</t>
  </si>
  <si>
    <t>Scost</t>
  </si>
  <si>
    <t>Total Soft Costs (Overhead)</t>
  </si>
  <si>
    <t>HSCost</t>
  </si>
  <si>
    <t xml:space="preserve">Total Hard &amp; Soft Costs </t>
  </si>
  <si>
    <t>Total Project Costs</t>
  </si>
  <si>
    <t>Net Savings to Customer (Performance Contract)</t>
  </si>
  <si>
    <t>General Contractor Markup for Pricing to Customer</t>
  </si>
  <si>
    <t>Overhead Factor</t>
  </si>
  <si>
    <t>Customer Costs</t>
  </si>
  <si>
    <t>Energy Savings</t>
  </si>
  <si>
    <t>Energy &amp; Maintenance Savings</t>
  </si>
  <si>
    <t>Total Payback</t>
  </si>
  <si>
    <t>Total Net Savings to Customer</t>
  </si>
  <si>
    <t>CCost</t>
  </si>
  <si>
    <t>Construction</t>
  </si>
  <si>
    <t>Operations</t>
  </si>
  <si>
    <t>Proceeds from Long-term Loans</t>
  </si>
  <si>
    <t>Construction Loan Repayment</t>
  </si>
  <si>
    <t>Debt Payments</t>
  </si>
  <si>
    <t>Monitoring Costs</t>
  </si>
  <si>
    <t>Cumulative ESCO Cash Flow</t>
  </si>
  <si>
    <t>Revenues</t>
  </si>
  <si>
    <t>Total Revenues</t>
  </si>
  <si>
    <t>Expenses</t>
  </si>
  <si>
    <t>Interest on Debt</t>
  </si>
  <si>
    <t>Total Expenses</t>
  </si>
  <si>
    <t>Net Pre-tax Income</t>
  </si>
  <si>
    <t>Taxable Income</t>
  </si>
  <si>
    <t>Income Tax</t>
  </si>
  <si>
    <t>Net After-tax Income (loss)</t>
  </si>
  <si>
    <t>Straight Line</t>
  </si>
  <si>
    <t>Long-Term Debt Profile</t>
  </si>
  <si>
    <t>Amount</t>
  </si>
  <si>
    <t>Rate</t>
  </si>
  <si>
    <t>Term</t>
  </si>
  <si>
    <t>Grace Period</t>
  </si>
  <si>
    <t>Effective Principal Term</t>
  </si>
  <si>
    <t>Amortization Schedule</t>
  </si>
  <si>
    <t>Level Payment</t>
  </si>
  <si>
    <t>Principal Balance</t>
  </si>
  <si>
    <t>Interest</t>
  </si>
  <si>
    <t>Principal</t>
  </si>
  <si>
    <t>Total Payment</t>
  </si>
  <si>
    <t>Level Principal</t>
  </si>
  <si>
    <t>Principal Payment</t>
  </si>
  <si>
    <t>Loan 1 Debt Service</t>
  </si>
  <si>
    <t>Construction Loan Terms</t>
  </si>
  <si>
    <t>Monthly Rate</t>
  </si>
  <si>
    <t>Months</t>
  </si>
  <si>
    <t>Drawdown</t>
  </si>
  <si>
    <t>Cumulative Drawdown</t>
  </si>
  <si>
    <t>Accrued Interest</t>
  </si>
  <si>
    <t>Cumulative Interest</t>
  </si>
  <si>
    <t>Output No.</t>
  </si>
  <si>
    <t>Output Name</t>
  </si>
  <si>
    <t>Electrical</t>
  </si>
  <si>
    <t>Escalator</t>
  </si>
  <si>
    <t>IRR on ESCO's Net Cash Flow</t>
  </si>
  <si>
    <t>Investment</t>
  </si>
  <si>
    <t>VAT</t>
  </si>
  <si>
    <t>Total Cost</t>
  </si>
  <si>
    <t>Total Hard Costs plus contingency plus VAT</t>
  </si>
  <si>
    <t>Taxable Services</t>
  </si>
  <si>
    <t>Income Tax Rate</t>
  </si>
  <si>
    <t>Income</t>
  </si>
  <si>
    <t>Net income</t>
  </si>
  <si>
    <t>Net Cash Flow</t>
  </si>
  <si>
    <t>Depreciation Period</t>
  </si>
  <si>
    <t>Depreciation Schedule Chosen</t>
  </si>
  <si>
    <t>Salvage Value</t>
  </si>
  <si>
    <t>Annual Depreciation</t>
  </si>
  <si>
    <t>Sum of Years Digits (SYD)</t>
  </si>
  <si>
    <t>Debt Coverage Ratio</t>
  </si>
  <si>
    <t>Long-term</t>
  </si>
  <si>
    <t>Balance Sheet Data</t>
  </si>
  <si>
    <t>Income Statement  Data</t>
  </si>
  <si>
    <t>Debt/Equity Ratio</t>
  </si>
  <si>
    <t>Current</t>
  </si>
  <si>
    <t>Total Assets</t>
  </si>
  <si>
    <t>Total Liabilities</t>
  </si>
  <si>
    <t>Total Equity</t>
  </si>
  <si>
    <t>Net Profit Margin</t>
  </si>
  <si>
    <t>tax</t>
  </si>
  <si>
    <t>Income (EBIT)</t>
  </si>
  <si>
    <t>Long-term or Fixed</t>
  </si>
  <si>
    <t>Total Liabilities  and Equity</t>
  </si>
  <si>
    <t>Total Operating Activities</t>
  </si>
  <si>
    <t>Net Income</t>
  </si>
  <si>
    <t>Total Investing Activities</t>
  </si>
  <si>
    <t>Total Financing Activities</t>
  </si>
  <si>
    <t>Other Current</t>
  </si>
  <si>
    <t>Cash (current)</t>
  </si>
  <si>
    <t>Cash Provided by increases in debt</t>
  </si>
  <si>
    <t>Cash from previous years</t>
  </si>
  <si>
    <t>Cash Flow Data</t>
  </si>
  <si>
    <t>Operating Profit Margin</t>
  </si>
  <si>
    <t>Other Operating Activities</t>
  </si>
  <si>
    <t>Long-term or Fixed Assets</t>
  </si>
  <si>
    <t>Long-term Liabilities</t>
  </si>
  <si>
    <t>Current Liabilities</t>
  </si>
  <si>
    <t>Net Annual Savings to Customer</t>
  </si>
  <si>
    <t>Total Project Savings</t>
  </si>
  <si>
    <t>(Pre-project)</t>
  </si>
  <si>
    <t>Savings and Contract Assumptions</t>
  </si>
  <si>
    <t>Energy Expenses</t>
  </si>
  <si>
    <t>Other Expenses</t>
  </si>
  <si>
    <t>Net Savings to Company</t>
  </si>
  <si>
    <t>Energy Savings to Customer</t>
  </si>
  <si>
    <t>IRR</t>
  </si>
  <si>
    <t>Soft Costs, Overhead &amp; Profit</t>
  </si>
  <si>
    <t>Overhead</t>
  </si>
  <si>
    <t>Subtotal Overhead</t>
  </si>
  <si>
    <t>Total Project Cost</t>
  </si>
  <si>
    <t>Profit</t>
  </si>
  <si>
    <t>Hard Costs</t>
  </si>
  <si>
    <t>Soft costs</t>
  </si>
  <si>
    <t>SubTotal Hard, Soft &amp; Overhead Costs</t>
  </si>
  <si>
    <t>Non-cash Current Assets</t>
  </si>
  <si>
    <t>Income Statement</t>
  </si>
  <si>
    <t>Balance Sheet</t>
  </si>
  <si>
    <t>Cash Flow</t>
  </si>
  <si>
    <t>Cash at end of period</t>
  </si>
  <si>
    <t>Principal level</t>
  </si>
  <si>
    <t>Project Simple Payback (hard costs only)</t>
  </si>
  <si>
    <t>Project Simple Payback (hard and soft costs)</t>
  </si>
  <si>
    <t>Subtotal Hard, Soft and Overhead</t>
  </si>
  <si>
    <t>Interest Expenses</t>
  </si>
  <si>
    <t>Combined</t>
  </si>
  <si>
    <t>measure</t>
  </si>
  <si>
    <t>Invest</t>
  </si>
  <si>
    <t>Payback</t>
  </si>
  <si>
    <t>Payback on measures including all costs</t>
  </si>
  <si>
    <t>IRR on measures including all costs</t>
  </si>
  <si>
    <t>inlcuding all costs</t>
  </si>
  <si>
    <t>Project IRR (hard costs only)</t>
  </si>
  <si>
    <t>Combined Hard and Soft costs</t>
  </si>
  <si>
    <t>Project IRR (hard and soft costs)</t>
  </si>
  <si>
    <t xml:space="preserve">Net Cash Flow </t>
  </si>
  <si>
    <t>Equip. Life</t>
  </si>
  <si>
    <t>NPV on measures</t>
  </si>
  <si>
    <t>Present Value of Customer Savings</t>
  </si>
  <si>
    <t>Cash Flow from Operations</t>
  </si>
  <si>
    <t>Subtotal</t>
  </si>
  <si>
    <t>Cash Flow from Investing</t>
  </si>
  <si>
    <t>Cash Flow from Financing</t>
  </si>
  <si>
    <t>Project Investments</t>
  </si>
  <si>
    <t>Fcost</t>
  </si>
  <si>
    <t>ESCO Loan</t>
  </si>
  <si>
    <t>Depreciation Expense</t>
  </si>
  <si>
    <t>Accelerated (100%)</t>
  </si>
  <si>
    <t>Cash balance (beg.of period)</t>
  </si>
  <si>
    <t xml:space="preserve">  Debt Payments</t>
  </si>
  <si>
    <t xml:space="preserve">  Cash from increases in debt</t>
  </si>
  <si>
    <t xml:space="preserve">  Cash increases in debt</t>
  </si>
  <si>
    <t>Contract period (yrs)</t>
  </si>
  <si>
    <t>Amortization Facility Loan</t>
  </si>
  <si>
    <t>Amortization ESCO Loan</t>
  </si>
  <si>
    <t>ESCO Construction Loan</t>
  </si>
  <si>
    <t>Facility Construction Loan</t>
  </si>
  <si>
    <t>Proceeds from Construction Loans</t>
  </si>
  <si>
    <t>Long Term Loan Payments (principal)</t>
  </si>
  <si>
    <t>Disbursement</t>
  </si>
  <si>
    <t>CLoan OR Grace</t>
  </si>
  <si>
    <t>Loan period</t>
  </si>
  <si>
    <t>Level Payment Amount</t>
  </si>
  <si>
    <t>level Principal Amount</t>
  </si>
  <si>
    <t>IDC (Yr 1 &amp; 2)</t>
  </si>
  <si>
    <t>Pre-Project</t>
  </si>
  <si>
    <t>Net Pre-Tax Income</t>
  </si>
  <si>
    <t>Net Asset Value</t>
  </si>
  <si>
    <t>NPV of ESCO Net Cash Flow  @ discount rate</t>
  </si>
  <si>
    <t>Depreciation (project only)</t>
  </si>
  <si>
    <t>Current Ratio</t>
  </si>
  <si>
    <t>Yr 1</t>
  </si>
  <si>
    <t>Yr 2</t>
  </si>
  <si>
    <t>Yr 3</t>
  </si>
  <si>
    <t>Yr 4</t>
  </si>
  <si>
    <t>Yr 5</t>
  </si>
  <si>
    <t>Yr 6</t>
  </si>
  <si>
    <t>Yr 7</t>
  </si>
  <si>
    <t>Yr 8</t>
  </si>
  <si>
    <t>Yr 9</t>
  </si>
  <si>
    <t>Yr 10</t>
  </si>
  <si>
    <t>ESCO Financed</t>
  </si>
  <si>
    <t>Debt/asset ratio</t>
  </si>
  <si>
    <t>Long-term Debt Level</t>
  </si>
  <si>
    <t>Customer Financial Ratios</t>
  </si>
  <si>
    <t>ESCO Finance</t>
  </si>
  <si>
    <t>Production Data</t>
  </si>
  <si>
    <t>Units Produced</t>
  </si>
  <si>
    <t>Energy Cost per Unit</t>
  </si>
  <si>
    <t>Production Increases</t>
  </si>
  <si>
    <t>Value of Increased Output</t>
  </si>
  <si>
    <t>Unit Price</t>
  </si>
  <si>
    <t>ESCO Financial Ratios</t>
  </si>
  <si>
    <t>With Prod. Increase</t>
  </si>
  <si>
    <t>Duties and Taxes on Equipment</t>
  </si>
  <si>
    <t>Duties and Taxes on Services</t>
  </si>
  <si>
    <t>O&amp;M Charges to ESCO</t>
  </si>
  <si>
    <t>O&amp;M Charges to Facility</t>
  </si>
  <si>
    <t>Depreciation (ESCO)</t>
  </si>
  <si>
    <t>Depreciation (Facility)</t>
  </si>
  <si>
    <t>Declining Balance</t>
  </si>
  <si>
    <t>Contract</t>
  </si>
  <si>
    <t>Measures</t>
  </si>
  <si>
    <t>Contingency on Equipment</t>
  </si>
  <si>
    <t>M&amp;V Costs for ESCO</t>
  </si>
  <si>
    <t>Low year</t>
  </si>
  <si>
    <t>High year</t>
  </si>
  <si>
    <t>Payback High</t>
  </si>
  <si>
    <t>payback Low</t>
  </si>
  <si>
    <t>DPB</t>
  </si>
  <si>
    <t>Absolute Value</t>
  </si>
  <si>
    <t>Percentage</t>
  </si>
  <si>
    <t>Duties and taxes</t>
  </si>
  <si>
    <t>Cost to Customer (pre-tax)</t>
  </si>
  <si>
    <t>Share Energy Price Increases</t>
  </si>
  <si>
    <t>Share price increases</t>
  </si>
  <si>
    <t>CUSTOMER CORPORATE FINANCIAL DATA</t>
  </si>
  <si>
    <t>Loan Interest Rate</t>
  </si>
  <si>
    <t xml:space="preserve"> Loan Term (yrs)</t>
  </si>
  <si>
    <t>Loan Grace Period (yrs)</t>
  </si>
  <si>
    <t>Loan Amortization</t>
  </si>
  <si>
    <t>Discount Rate</t>
  </si>
  <si>
    <t>Construction Interest</t>
  </si>
  <si>
    <t>Construction Period (mos.)</t>
  </si>
  <si>
    <t>Step 2: Enter Information about the Energy Efficiency Measures</t>
  </si>
  <si>
    <t>Cost of Loan Guarantee</t>
  </si>
  <si>
    <t>Financial Assumptions</t>
  </si>
  <si>
    <t>Customer Corporate Financial Data</t>
  </si>
  <si>
    <t>ESCO Company (corporate level)</t>
  </si>
  <si>
    <t>Customer Company (corporate level)</t>
  </si>
  <si>
    <t>Energy Savings Activity (project Level)</t>
  </si>
  <si>
    <t>Cost of Guarantee</t>
  </si>
  <si>
    <t>Customer Project Income Statement</t>
  </si>
  <si>
    <t>Customer Savings</t>
  </si>
  <si>
    <t>Customer Project Cash Flow Statement</t>
  </si>
  <si>
    <t>Customer Returns on Cash Flow</t>
  </si>
  <si>
    <t>Cumulative Customer Cash Flow</t>
  </si>
  <si>
    <t>IRR on Customer's Net Cash Flow</t>
  </si>
  <si>
    <t>Costs</t>
  </si>
  <si>
    <t>PROJECT FINANCIAL STATEMENTS (PERFORMANCE CONTRACT)</t>
  </si>
  <si>
    <t>PV of Customer's Net Cash Flow  @ discount rate</t>
  </si>
  <si>
    <t>Customer CORPORATE FINANCIAL STATEMENTS</t>
  </si>
  <si>
    <t>NPV</t>
  </si>
  <si>
    <t>Total Fees Paid to Loan Guarantor</t>
  </si>
  <si>
    <t>Special Purpose Entity (SPE) ESCO Financial Model</t>
  </si>
  <si>
    <t>SPE Annual Payment</t>
  </si>
  <si>
    <t>SPE Simple Payback (on shared amount)</t>
  </si>
  <si>
    <t>SPE Discounted payback (on shared amount)</t>
  </si>
  <si>
    <t>SPE Cumulative Net Cash Flow</t>
  </si>
  <si>
    <t>SPE IRR</t>
  </si>
  <si>
    <t>SPE Finance</t>
  </si>
  <si>
    <t>SPE Project Cost + NPV of Net Cash Flow</t>
  </si>
  <si>
    <t>PERFORMANCE CONTRACT (SPE FINANCES)</t>
  </si>
  <si>
    <t>SPE Project Income Statement</t>
  </si>
  <si>
    <t>SPE Project Cash Flow Statement</t>
  </si>
  <si>
    <t>SPE Returns on Cash Flow</t>
  </si>
  <si>
    <t>SPE CORPORATE FINANCIAL STATEMENTS</t>
  </si>
  <si>
    <t>SPE Financial Ratios</t>
  </si>
  <si>
    <t>SPE Loan Amount</t>
  </si>
  <si>
    <t>SPE Loan Interest Rate</t>
  </si>
  <si>
    <t>SPE Loan Term (yrs)</t>
  </si>
  <si>
    <t>SPE Loan Grace Period (yrs)</t>
  </si>
  <si>
    <t>SPE Loan Amortization</t>
  </si>
  <si>
    <t>SPE Equity</t>
  </si>
  <si>
    <t>SPE Discount Rate</t>
  </si>
  <si>
    <t>SPE Construction Interest</t>
  </si>
  <si>
    <t>SPE Construction Period (months)</t>
  </si>
  <si>
    <t>SPE Corporate Financial Data</t>
  </si>
  <si>
    <t>SPE Operating Costs</t>
  </si>
  <si>
    <t>Step 6: Review Project, SPE, ESCO, and Customer Data</t>
  </si>
  <si>
    <t>SPE CORPORATE FINANCIAL DATA</t>
  </si>
  <si>
    <t>SPE Financing Assumptions</t>
  </si>
  <si>
    <t>ESCO Financing Assumptions</t>
  </si>
  <si>
    <t>SPE Results Summary</t>
  </si>
  <si>
    <t>ESCO Project Cost + NPV of Net Cash Flow</t>
  </si>
  <si>
    <t>PERFORMANCE CONTRACT (ESCO FINANCES)</t>
  </si>
  <si>
    <t>ESCO Project Income Statement</t>
  </si>
  <si>
    <t>ESCO Project Cash Flow Statement</t>
  </si>
  <si>
    <t>ESCO Returns on Cash Flow</t>
  </si>
  <si>
    <t>ESCO CORPORATE FINANCIAL STATEMENTS</t>
  </si>
  <si>
    <t>Revenues (Project Design and Implementation Fees)</t>
  </si>
  <si>
    <t>SPE Payment</t>
  </si>
  <si>
    <t>Total Payment to SPE</t>
  </si>
  <si>
    <t>Projected Savings to SPE</t>
  </si>
  <si>
    <t>Total Projected Savings to SPE</t>
  </si>
  <si>
    <t>Dividends from SPE</t>
  </si>
  <si>
    <t>Profit Target for SPE</t>
  </si>
  <si>
    <t>Savings Split to SPE</t>
  </si>
  <si>
    <t>SPE Interim Savings Split</t>
  </si>
  <si>
    <t>Payments to SPE</t>
  </si>
  <si>
    <t>PROJECT FINANCIAL INFORMATION</t>
  </si>
  <si>
    <t>ESCO CORPORATE FINANCIAL DATA</t>
  </si>
  <si>
    <t>Monitoring Charges</t>
  </si>
  <si>
    <t>Annual O&amp;M Charges to SPE/Project</t>
  </si>
  <si>
    <t>Annual M&amp;V Costs to SPE/Project</t>
  </si>
  <si>
    <t xml:space="preserve">Annual M&amp;V Costs for Customer </t>
  </si>
  <si>
    <t>Annual O&amp;M Charges to Customer</t>
  </si>
  <si>
    <t>Annual O&amp;M Cost to ESCO</t>
  </si>
  <si>
    <t>Annual M&amp;V Cost to ESCO</t>
  </si>
  <si>
    <t>Percentage of SPE Equity Ownership</t>
  </si>
  <si>
    <t>Equipment (Hard Cost)</t>
  </si>
  <si>
    <t>Project Design (Soft Cost)</t>
  </si>
  <si>
    <t>Profit Target for Consulting &amp; Design Services</t>
  </si>
  <si>
    <t>PROJECT SUMMARY AND FINANCIAL INFORMATION</t>
  </si>
  <si>
    <t>Check</t>
  </si>
  <si>
    <t>ESCO Operating Costs</t>
  </si>
  <si>
    <t>Annual Projected Savings</t>
  </si>
  <si>
    <t>Fees for Project Design (Soft Cost)</t>
  </si>
  <si>
    <t>Sale of Equipment (Hard Cost)</t>
  </si>
  <si>
    <t>ESCO NPV</t>
  </si>
  <si>
    <t>FINANCIAL RETURN SUMMARY INFORMATION</t>
  </si>
  <si>
    <t>SPE Return</t>
  </si>
  <si>
    <t>Customer Return</t>
  </si>
  <si>
    <t>ESCO Return</t>
  </si>
  <si>
    <t>Project Return</t>
  </si>
  <si>
    <t>CORPORATE SUMMARY INFORMATION (Before Project Implementation)</t>
  </si>
  <si>
    <t>Energy Savings Payment from Customer</t>
  </si>
  <si>
    <t>Step 3, 4 &amp; 5: Enter financial Information about Project, SPE, ESCO, and the Customer</t>
  </si>
  <si>
    <t>SPE Company (corporate level)</t>
  </si>
  <si>
    <t>Customer Financed</t>
  </si>
  <si>
    <t>Legend</t>
  </si>
</sst>
</file>

<file path=xl/styles.xml><?xml version="1.0" encoding="utf-8"?>
<styleSheet xmlns="http://schemas.openxmlformats.org/spreadsheetml/2006/main">
  <numFmts count="5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0%"/>
    <numFmt numFmtId="173" formatCode="_(* #,##0.000_);_(* \(#,##0.000\);_(* &quot;-&quot;??_);_(@_)"/>
    <numFmt numFmtId="174" formatCode="_(* #,##0.0000_);_(* \(#,##0.0000\);_(* &quot;-&quot;??_);_(@_)"/>
    <numFmt numFmtId="175" formatCode="_(&quot;$&quot;* #,##0.0_);_(&quot;$&quot;* \(#,##0.0\);_(&quot;$&quot;* &quot;-&quot;??_);_(@_)"/>
    <numFmt numFmtId="176" formatCode="_(&quot;$&quot;* #,##0_);_(&quot;$&quot;* \(#,##0\);_(&quot;$&quot;* &quot;-&quot;??_);_(@_)"/>
    <numFmt numFmtId="177" formatCode="&quot;$&quot;#,##0.0_);[Red]\(&quot;$&quot;#,##0.0\)"/>
    <numFmt numFmtId="178" formatCode="0.0"/>
    <numFmt numFmtId="179" formatCode="#,##0.0_);[Red]\(#,##0.0\)"/>
    <numFmt numFmtId="180" formatCode="0.000000"/>
    <numFmt numFmtId="181" formatCode="0.00000"/>
    <numFmt numFmtId="182" formatCode="0.0000"/>
    <numFmt numFmtId="183" formatCode="0.000"/>
    <numFmt numFmtId="184" formatCode="&quot;$&quot;#,##0.000_);[Red]\(&quot;$&quot;#,##0.000\)"/>
    <numFmt numFmtId="185" formatCode="0.00000000"/>
    <numFmt numFmtId="186" formatCode="0.0000000"/>
    <numFmt numFmtId="187" formatCode="_(* #,##0.0_);_(* \(#,##0.0\);_(* &quot;-&quot;_);_(@_)"/>
    <numFmt numFmtId="188" formatCode="_(* #,##0.00_);_(* \(#,##0.00\);_(* &quot;-&quot;_);_(@_)"/>
    <numFmt numFmtId="189" formatCode="&quot;$&quot;#,##0.0_);\(&quot;$&quot;#,##0.0\)"/>
    <numFmt numFmtId="190" formatCode="[$INR]\ #,##0.00"/>
    <numFmt numFmtId="191" formatCode="[$INR]\ #,##0.00_);[Red]\([$INR]\ #,##0.00\)"/>
    <numFmt numFmtId="192" formatCode="0_);[Red]\(0\)"/>
    <numFmt numFmtId="193" formatCode="[$INR]\ #,##0_);[Red]\([$INR]\ #,##0\)"/>
    <numFmt numFmtId="194" formatCode="[$INR]\ #,##0"/>
    <numFmt numFmtId="195" formatCode="[$INR]\ #,##0_);\([$INR]\ #,##0\)"/>
    <numFmt numFmtId="196" formatCode="_(* #,##0.000_);_(* \(#,##0.000\);_(* &quot;-&quot;_);_(@_)"/>
    <numFmt numFmtId="197" formatCode="_(* #,##0.0000_);_(* \(#,##0.0000\);_(* &quot;-&quot;_);_(@_)"/>
    <numFmt numFmtId="198" formatCode="_(* #,##0.00000_);_(* \(#,##0.00000\);_(* &quot;-&quot;_);_(@_)"/>
    <numFmt numFmtId="199" formatCode=";;;"/>
    <numFmt numFmtId="200" formatCode="0.000%"/>
    <numFmt numFmtId="201" formatCode="_(* #,##0.0_);_(* \(#,##0.0\);_(* &quot;-&quot;?_);_(@_)"/>
    <numFmt numFmtId="202" formatCode="[$-409]dddd\,\ mmmm\ dd\,\ yyyy"/>
    <numFmt numFmtId="203" formatCode="[$-409]h:mm:ss\ AM/PM"/>
    <numFmt numFmtId="204" formatCode="&quot;Yes&quot;;&quot;Yes&quot;;&quot;No&quot;"/>
    <numFmt numFmtId="205" formatCode="&quot;True&quot;;&quot;True&quot;;&quot;False&quot;"/>
    <numFmt numFmtId="206" formatCode="&quot;On&quot;;&quot;On&quot;;&quot;Off&quot;"/>
    <numFmt numFmtId="207" formatCode="[$€-2]\ #,##0.00_);[Red]\([$€-2]\ #,##0.00\)"/>
    <numFmt numFmtId="208" formatCode="#,##0.0_);\(#,##0.0\)"/>
  </numFmts>
  <fonts count="32">
    <font>
      <sz val="11"/>
      <name val="Times New Roman"/>
      <family val="0"/>
    </font>
    <font>
      <b/>
      <u val="single"/>
      <sz val="11"/>
      <name val="Times New Roman"/>
      <family val="1"/>
    </font>
    <font>
      <u val="single"/>
      <sz val="11"/>
      <name val="Times New Roman"/>
      <family val="1"/>
    </font>
    <font>
      <b/>
      <sz val="11"/>
      <name val="Times New Roman"/>
      <family val="1"/>
    </font>
    <font>
      <i/>
      <sz val="11"/>
      <name val="Times New Roman"/>
      <family val="1"/>
    </font>
    <font>
      <sz val="8"/>
      <name val="Tahoma"/>
      <family val="0"/>
    </font>
    <font>
      <sz val="11"/>
      <color indexed="63"/>
      <name val="Times New Roman"/>
      <family val="1"/>
    </font>
    <font>
      <b/>
      <sz val="11"/>
      <color indexed="63"/>
      <name val="Times New Roman"/>
      <family val="1"/>
    </font>
    <font>
      <sz val="11"/>
      <name val="Helv"/>
      <family val="0"/>
    </font>
    <font>
      <b/>
      <u val="single"/>
      <sz val="12"/>
      <name val="Times New Roman"/>
      <family val="1"/>
    </font>
    <font>
      <sz val="11"/>
      <color indexed="8"/>
      <name val="Times New Roman"/>
      <family val="1"/>
    </font>
    <font>
      <b/>
      <i/>
      <u val="single"/>
      <sz val="12"/>
      <name val="Times New Roman"/>
      <family val="1"/>
    </font>
    <font>
      <sz val="11"/>
      <name val="Tahoma"/>
      <family val="2"/>
    </font>
    <font>
      <b/>
      <i/>
      <sz val="11"/>
      <name val="Times New Roman"/>
      <family val="1"/>
    </font>
    <font>
      <b/>
      <sz val="12"/>
      <name val="Times New Roman"/>
      <family val="1"/>
    </font>
    <font>
      <b/>
      <sz val="8"/>
      <name val="Tahoma"/>
      <family val="0"/>
    </font>
    <font>
      <u val="single"/>
      <sz val="11"/>
      <color indexed="12"/>
      <name val="Times New Roman"/>
      <family val="0"/>
    </font>
    <font>
      <u val="single"/>
      <sz val="11"/>
      <color indexed="36"/>
      <name val="Times New Roman"/>
      <family val="0"/>
    </font>
    <font>
      <b/>
      <sz val="14"/>
      <color indexed="10"/>
      <name val="Times New Roman"/>
      <family val="1"/>
    </font>
    <font>
      <b/>
      <i/>
      <u val="single"/>
      <sz val="11"/>
      <name val="Times New Roman"/>
      <family val="1"/>
    </font>
    <font>
      <b/>
      <sz val="12"/>
      <name val="Tahoma"/>
      <family val="2"/>
    </font>
    <font>
      <sz val="11"/>
      <name val="Times"/>
      <family val="0"/>
    </font>
    <font>
      <b/>
      <u val="singleAccounting"/>
      <sz val="11"/>
      <name val="Times New Roman"/>
      <family val="1"/>
    </font>
    <font>
      <b/>
      <sz val="10"/>
      <color indexed="56"/>
      <name val="Century Gothic"/>
      <family val="2"/>
    </font>
    <font>
      <b/>
      <sz val="18"/>
      <color indexed="9"/>
      <name val="Arial"/>
      <family val="2"/>
    </font>
    <font>
      <b/>
      <sz val="13"/>
      <name val="Arial"/>
      <family val="2"/>
    </font>
    <font>
      <b/>
      <sz val="10"/>
      <color indexed="13"/>
      <name val="Century Gothic"/>
      <family val="2"/>
    </font>
    <font>
      <b/>
      <sz val="10"/>
      <color indexed="15"/>
      <name val="Century Gothic"/>
      <family val="2"/>
    </font>
    <font>
      <b/>
      <sz val="11"/>
      <color indexed="9"/>
      <name val="Arial"/>
      <family val="2"/>
    </font>
    <font>
      <b/>
      <sz val="11"/>
      <name val="Arial"/>
      <family val="2"/>
    </font>
    <font>
      <b/>
      <sz val="10"/>
      <color indexed="10"/>
      <name val="Times New Roman"/>
      <family val="1"/>
    </font>
    <font>
      <b/>
      <sz val="8"/>
      <name val="Times New Roman"/>
      <family val="2"/>
    </font>
  </fonts>
  <fills count="11">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5"/>
        <bgColor indexed="64"/>
      </patternFill>
    </fill>
  </fills>
  <borders count="140">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color indexed="63"/>
      </top>
      <bottom style="thin"/>
    </border>
    <border>
      <left style="medium">
        <color indexed="8"/>
      </left>
      <right>
        <color indexed="63"/>
      </right>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color indexed="8"/>
      </top>
      <bottom>
        <color indexed="63"/>
      </bottom>
    </border>
    <border>
      <left style="medium"/>
      <right>
        <color indexed="63"/>
      </right>
      <top>
        <color indexed="63"/>
      </top>
      <bottom style="thin">
        <color indexed="8"/>
      </bottom>
    </border>
    <border>
      <left>
        <color indexed="63"/>
      </left>
      <right style="thin">
        <color indexed="8"/>
      </right>
      <top>
        <color indexed="63"/>
      </top>
      <bottom style="medium"/>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color indexed="63"/>
      </top>
      <bottom style="thin"/>
    </border>
    <border>
      <left style="thin"/>
      <right style="medium"/>
      <top style="thin"/>
      <bottom>
        <color indexed="63"/>
      </bottom>
    </border>
    <border>
      <left style="medium"/>
      <right>
        <color indexed="63"/>
      </right>
      <top style="thin"/>
      <bottom style="thin"/>
    </border>
    <border>
      <left>
        <color indexed="63"/>
      </left>
      <right style="medium"/>
      <top style="thin"/>
      <bottom style="medium"/>
    </border>
    <border>
      <left>
        <color indexed="63"/>
      </left>
      <right>
        <color indexed="63"/>
      </right>
      <top style="thin"/>
      <bottom style="double"/>
    </border>
    <border>
      <left style="thin">
        <color indexed="51"/>
      </left>
      <right style="medium">
        <color indexed="8"/>
      </right>
      <top style="thin">
        <color indexed="8"/>
      </top>
      <bottom style="thin">
        <color indexed="51"/>
      </bottom>
    </border>
    <border>
      <left style="thin">
        <color indexed="51"/>
      </left>
      <right style="medium">
        <color indexed="8"/>
      </right>
      <top style="thin">
        <color indexed="51"/>
      </top>
      <bottom style="thin">
        <color indexed="51"/>
      </bottom>
    </border>
    <border>
      <left style="medium">
        <color indexed="8"/>
      </left>
      <right style="medium">
        <color indexed="8"/>
      </right>
      <top style="medium">
        <color indexed="8"/>
      </top>
      <bottom style="medium">
        <color indexed="8"/>
      </bottom>
    </border>
    <border>
      <left style="medium">
        <color indexed="8"/>
      </left>
      <right style="thin">
        <color indexed="51"/>
      </right>
      <top>
        <color indexed="63"/>
      </top>
      <bottom>
        <color indexed="63"/>
      </bottom>
    </border>
    <border>
      <left style="medium">
        <color indexed="50"/>
      </left>
      <right style="medium">
        <color indexed="8"/>
      </right>
      <top>
        <color indexed="63"/>
      </top>
      <bottom style="medium">
        <color indexed="50"/>
      </bottom>
    </border>
    <border>
      <left style="medium">
        <color indexed="50"/>
      </left>
      <right style="medium">
        <color indexed="8"/>
      </right>
      <top style="medium">
        <color indexed="50"/>
      </top>
      <bottom style="medium">
        <color indexed="50"/>
      </bottom>
    </border>
    <border>
      <left style="medium">
        <color indexed="50"/>
      </left>
      <right style="medium">
        <color indexed="8"/>
      </right>
      <top style="medium">
        <color indexed="50"/>
      </top>
      <bottom style="medium">
        <color indexed="8"/>
      </bottom>
    </border>
    <border>
      <left>
        <color indexed="63"/>
      </left>
      <right>
        <color indexed="63"/>
      </right>
      <top>
        <color indexed="63"/>
      </top>
      <bottom style="medium">
        <color indexed="8"/>
      </bottom>
    </border>
    <border>
      <left>
        <color indexed="63"/>
      </left>
      <right style="medium">
        <color indexed="50"/>
      </right>
      <top>
        <color indexed="63"/>
      </top>
      <bottom style="medium">
        <color indexed="50"/>
      </bottom>
    </border>
    <border>
      <left>
        <color indexed="63"/>
      </left>
      <right style="medium">
        <color indexed="50"/>
      </right>
      <top style="medium">
        <color indexed="50"/>
      </top>
      <bottom style="medium">
        <color indexed="50"/>
      </bottom>
    </border>
    <border>
      <left>
        <color indexed="63"/>
      </left>
      <right style="medium">
        <color indexed="50"/>
      </right>
      <top style="medium">
        <color indexed="50"/>
      </top>
      <bottom style="medium">
        <color indexed="8"/>
      </bottom>
    </border>
    <border>
      <left style="medium">
        <color indexed="8"/>
      </left>
      <right style="medium">
        <color indexed="46"/>
      </right>
      <top style="medium">
        <color indexed="46"/>
      </top>
      <bottom style="medium">
        <color indexed="46"/>
      </bottom>
    </border>
    <border>
      <left style="medium">
        <color indexed="46"/>
      </left>
      <right style="medium">
        <color indexed="46"/>
      </right>
      <top style="medium">
        <color indexed="46"/>
      </top>
      <bottom style="medium">
        <color indexed="46"/>
      </bottom>
    </border>
    <border>
      <left style="medium">
        <color indexed="46"/>
      </left>
      <right style="medium">
        <color indexed="8"/>
      </right>
      <top style="medium">
        <color indexed="46"/>
      </top>
      <bottom style="medium">
        <color indexed="46"/>
      </bottom>
    </border>
    <border>
      <left style="medium">
        <color indexed="8"/>
      </left>
      <right style="medium">
        <color indexed="46"/>
      </right>
      <top style="medium">
        <color indexed="46"/>
      </top>
      <bottom style="medium">
        <color indexed="8"/>
      </bottom>
    </border>
    <border>
      <left style="medium">
        <color indexed="46"/>
      </left>
      <right style="medium">
        <color indexed="46"/>
      </right>
      <top style="medium">
        <color indexed="46"/>
      </top>
      <bottom style="medium">
        <color indexed="8"/>
      </bottom>
    </border>
    <border>
      <left style="medium">
        <color indexed="46"/>
      </left>
      <right style="medium">
        <color indexed="8"/>
      </right>
      <top style="medium">
        <color indexed="46"/>
      </top>
      <bottom style="medium">
        <color indexed="8"/>
      </bottom>
    </border>
    <border>
      <left style="medium">
        <color indexed="8"/>
      </left>
      <right style="medium">
        <color indexed="46"/>
      </right>
      <top>
        <color indexed="63"/>
      </top>
      <bottom style="medium">
        <color indexed="46"/>
      </bottom>
    </border>
    <border>
      <left style="medium">
        <color indexed="46"/>
      </left>
      <right style="medium">
        <color indexed="46"/>
      </right>
      <top>
        <color indexed="63"/>
      </top>
      <bottom style="medium">
        <color indexed="46"/>
      </bottom>
    </border>
    <border>
      <left style="medium">
        <color indexed="46"/>
      </left>
      <right style="medium">
        <color indexed="8"/>
      </right>
      <top>
        <color indexed="63"/>
      </top>
      <bottom style="medium">
        <color indexed="46"/>
      </bottom>
    </border>
    <border>
      <left style="medium">
        <color indexed="8"/>
      </left>
      <right style="medium">
        <color indexed="46"/>
      </right>
      <top style="medium">
        <color indexed="46"/>
      </top>
      <bottom>
        <color indexed="63"/>
      </bottom>
    </border>
    <border>
      <left style="medium">
        <color indexed="46"/>
      </left>
      <right style="medium">
        <color indexed="46"/>
      </right>
      <top style="medium">
        <color indexed="46"/>
      </top>
      <bottom>
        <color indexed="63"/>
      </bottom>
    </border>
    <border>
      <left style="medium">
        <color indexed="8"/>
      </left>
      <right style="medium">
        <color indexed="46"/>
      </right>
      <top style="medium">
        <color indexed="8"/>
      </top>
      <bottom style="medium">
        <color indexed="46"/>
      </bottom>
    </border>
    <border>
      <left style="medium">
        <color indexed="46"/>
      </left>
      <right style="medium">
        <color indexed="46"/>
      </right>
      <top style="medium">
        <color indexed="8"/>
      </top>
      <bottom style="medium">
        <color indexed="46"/>
      </bottom>
    </border>
    <border>
      <left style="medium">
        <color indexed="46"/>
      </left>
      <right style="medium">
        <color indexed="8"/>
      </right>
      <top style="medium">
        <color indexed="8"/>
      </top>
      <bottom style="medium">
        <color indexed="46"/>
      </bottom>
    </border>
    <border>
      <left>
        <color indexed="63"/>
      </left>
      <right style="medium">
        <color indexed="8"/>
      </right>
      <top>
        <color indexed="63"/>
      </top>
      <bottom style="medium">
        <color indexed="8"/>
      </bottom>
    </border>
    <border>
      <left style="medium">
        <color indexed="46"/>
      </left>
      <right style="medium">
        <color indexed="8"/>
      </right>
      <top style="medium">
        <color indexed="46"/>
      </top>
      <bottom>
        <color indexed="63"/>
      </bottom>
    </border>
    <border>
      <left style="medium">
        <color indexed="8"/>
      </left>
      <right style="medium">
        <color indexed="50"/>
      </right>
      <top style="medium">
        <color indexed="8"/>
      </top>
      <bottom style="medium">
        <color indexed="50"/>
      </bottom>
    </border>
    <border>
      <left style="medium">
        <color indexed="50"/>
      </left>
      <right style="medium">
        <color indexed="50"/>
      </right>
      <top style="medium">
        <color indexed="8"/>
      </top>
      <bottom style="medium">
        <color indexed="50"/>
      </bottom>
    </border>
    <border>
      <left style="medium">
        <color indexed="50"/>
      </left>
      <right style="medium">
        <color indexed="8"/>
      </right>
      <top style="medium">
        <color indexed="8"/>
      </top>
      <bottom style="medium">
        <color indexed="50"/>
      </bottom>
    </border>
    <border>
      <left style="medium">
        <color indexed="8"/>
      </left>
      <right style="medium">
        <color indexed="50"/>
      </right>
      <top style="medium">
        <color indexed="50"/>
      </top>
      <bottom style="medium">
        <color indexed="50"/>
      </bottom>
    </border>
    <border>
      <left style="medium">
        <color indexed="50"/>
      </left>
      <right style="medium">
        <color indexed="50"/>
      </right>
      <top style="medium">
        <color indexed="50"/>
      </top>
      <bottom style="medium">
        <color indexed="50"/>
      </bottom>
    </border>
    <border>
      <left style="medium">
        <color indexed="8"/>
      </left>
      <right style="medium">
        <color indexed="50"/>
      </right>
      <top style="medium">
        <color indexed="50"/>
      </top>
      <bottom style="medium">
        <color indexed="8"/>
      </bottom>
    </border>
    <border>
      <left style="medium">
        <color indexed="50"/>
      </left>
      <right style="medium">
        <color indexed="50"/>
      </right>
      <top style="medium">
        <color indexed="50"/>
      </top>
      <bottom style="medium">
        <color indexed="8"/>
      </bottom>
    </border>
    <border>
      <left style="thin"/>
      <right style="medium">
        <color indexed="8"/>
      </right>
      <top style="thin"/>
      <bottom style="thin"/>
    </border>
    <border>
      <left style="medium">
        <color indexed="8"/>
      </left>
      <right>
        <color indexed="63"/>
      </right>
      <top>
        <color indexed="63"/>
      </top>
      <bottom style="medium">
        <color indexed="8"/>
      </bottom>
    </border>
    <border>
      <left style="thin"/>
      <right style="medium">
        <color indexed="8"/>
      </right>
      <top style="thin"/>
      <bottom style="medium">
        <color indexed="8"/>
      </bottom>
    </border>
    <border>
      <left>
        <color indexed="63"/>
      </left>
      <right style="medium">
        <color indexed="8"/>
      </right>
      <top style="medium">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medium">
        <color indexed="50"/>
      </right>
      <top>
        <color indexed="63"/>
      </top>
      <bottom style="medium">
        <color indexed="50"/>
      </bottom>
    </border>
    <border>
      <left>
        <color indexed="63"/>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style="medium">
        <color indexed="8"/>
      </left>
      <right>
        <color indexed="63"/>
      </right>
      <top>
        <color indexed="63"/>
      </top>
      <bottom style="medium"/>
    </border>
    <border>
      <left>
        <color indexed="63"/>
      </left>
      <right style="medium">
        <color indexed="8"/>
      </right>
      <top>
        <color indexed="63"/>
      </top>
      <bottom style="medium"/>
    </border>
    <border>
      <left style="thin">
        <color indexed="51"/>
      </left>
      <right>
        <color indexed="63"/>
      </right>
      <top style="thin">
        <color indexed="51"/>
      </top>
      <bottom style="thin">
        <color indexed="51"/>
      </bottom>
    </border>
    <border>
      <left style="thin">
        <color indexed="51"/>
      </left>
      <right>
        <color indexed="63"/>
      </right>
      <top style="thin">
        <color indexed="51"/>
      </top>
      <bottom style="medium">
        <color indexed="8"/>
      </bottom>
    </border>
    <border>
      <left style="medium">
        <color indexed="8"/>
      </left>
      <right style="medium">
        <color indexed="45"/>
      </right>
      <top style="medium">
        <color indexed="45"/>
      </top>
      <bottom style="medium">
        <color indexed="45"/>
      </bottom>
    </border>
    <border>
      <left style="medium">
        <color indexed="45"/>
      </left>
      <right style="medium">
        <color indexed="8"/>
      </right>
      <top style="medium">
        <color indexed="45"/>
      </top>
      <bottom style="medium">
        <color indexed="45"/>
      </bottom>
    </border>
    <border>
      <left style="medium">
        <color indexed="8"/>
      </left>
      <right style="medium">
        <color indexed="45"/>
      </right>
      <top style="medium">
        <color indexed="45"/>
      </top>
      <bottom style="medium">
        <color indexed="8"/>
      </bottom>
    </border>
    <border>
      <left style="medium">
        <color indexed="45"/>
      </left>
      <right style="medium">
        <color indexed="8"/>
      </right>
      <top style="medium">
        <color indexed="45"/>
      </top>
      <bottom style="medium">
        <color indexed="8"/>
      </bottom>
    </border>
    <border>
      <left style="medium">
        <color indexed="8"/>
      </left>
      <right style="medium">
        <color indexed="45"/>
      </right>
      <top>
        <color indexed="63"/>
      </top>
      <bottom style="medium">
        <color indexed="45"/>
      </bottom>
    </border>
    <border>
      <left style="medium">
        <color indexed="45"/>
      </left>
      <right style="medium">
        <color indexed="8"/>
      </right>
      <top>
        <color indexed="63"/>
      </top>
      <bottom style="medium">
        <color indexed="45"/>
      </bottom>
    </border>
    <border>
      <left style="medium">
        <color indexed="45"/>
      </left>
      <right style="medium">
        <color indexed="8"/>
      </right>
      <top style="medium">
        <color indexed="8"/>
      </top>
      <bottom style="medium">
        <color indexed="8"/>
      </bottom>
    </border>
    <border>
      <left style="medium">
        <color indexed="8"/>
      </left>
      <right style="medium">
        <color indexed="45"/>
      </right>
      <top style="medium">
        <color indexed="8"/>
      </top>
      <bottom style="medium">
        <color indexed="8"/>
      </bottom>
    </border>
    <border>
      <left style="medium">
        <color indexed="8"/>
      </left>
      <right style="thin">
        <color indexed="45"/>
      </right>
      <top style="thin">
        <color indexed="45"/>
      </top>
      <bottom style="thin">
        <color indexed="45"/>
      </bottom>
    </border>
    <border>
      <left style="thin">
        <color indexed="45"/>
      </left>
      <right style="medium">
        <color indexed="8"/>
      </right>
      <top style="thin">
        <color indexed="45"/>
      </top>
      <bottom style="thin">
        <color indexed="45"/>
      </bottom>
    </border>
    <border>
      <left style="medium">
        <color indexed="8"/>
      </left>
      <right style="thin">
        <color indexed="45"/>
      </right>
      <top style="thin">
        <color indexed="45"/>
      </top>
      <bottom>
        <color indexed="63"/>
      </bottom>
    </border>
    <border>
      <left>
        <color indexed="63"/>
      </left>
      <right style="medium">
        <color indexed="8"/>
      </right>
      <top style="thin">
        <color indexed="45"/>
      </top>
      <bottom style="thin">
        <color indexed="45"/>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color indexed="63"/>
      </left>
      <right style="medium"/>
      <top style="medium">
        <color indexed="8"/>
      </top>
      <bottom style="medium">
        <color indexed="8"/>
      </bottom>
    </border>
    <border>
      <left style="thin"/>
      <right style="thin"/>
      <top>
        <color indexed="63"/>
      </top>
      <bottom style="medium"/>
    </border>
    <border>
      <left style="thin"/>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n">
        <color indexed="45"/>
      </right>
      <top style="thick">
        <color indexed="8"/>
      </top>
      <bottom style="thin">
        <color indexed="45"/>
      </bottom>
    </border>
    <border>
      <left style="thin">
        <color indexed="45"/>
      </left>
      <right style="thick">
        <color indexed="8"/>
      </right>
      <top style="thick">
        <color indexed="8"/>
      </top>
      <bottom style="thin">
        <color indexed="45"/>
      </bottom>
    </border>
    <border>
      <left style="thick">
        <color indexed="8"/>
      </left>
      <right style="thin">
        <color indexed="45"/>
      </right>
      <top style="thin">
        <color indexed="45"/>
      </top>
      <bottom style="thin">
        <color indexed="45"/>
      </bottom>
    </border>
    <border>
      <left style="thin">
        <color indexed="45"/>
      </left>
      <right style="thick">
        <color indexed="8"/>
      </right>
      <top style="thin">
        <color indexed="45"/>
      </top>
      <bottom style="thin">
        <color indexed="45"/>
      </bottom>
    </border>
    <border>
      <left style="thick">
        <color indexed="8"/>
      </left>
      <right style="thin">
        <color indexed="45"/>
      </right>
      <top style="thin">
        <color indexed="45"/>
      </top>
      <bottom style="thick">
        <color indexed="8"/>
      </bottom>
    </border>
    <border>
      <left style="thin">
        <color indexed="45"/>
      </left>
      <right style="thick">
        <color indexed="8"/>
      </right>
      <top style="thin">
        <color indexed="45"/>
      </top>
      <bottom style="thick">
        <color indexed="8"/>
      </bottom>
    </border>
    <border>
      <left style="medium">
        <color indexed="8"/>
      </left>
      <right style="medium">
        <color indexed="46"/>
      </right>
      <top style="medium">
        <color indexed="8"/>
      </top>
      <bottom style="medium">
        <color indexed="8"/>
      </bottom>
    </border>
    <border>
      <left style="medium">
        <color indexed="46"/>
      </left>
      <right style="medium">
        <color indexed="46"/>
      </right>
      <top style="medium">
        <color indexed="8"/>
      </top>
      <bottom style="medium">
        <color indexed="8"/>
      </bottom>
    </border>
    <border>
      <left style="medium">
        <color indexed="46"/>
      </left>
      <right style="medium">
        <color indexed="8"/>
      </right>
      <top style="medium">
        <color indexed="8"/>
      </top>
      <bottom style="medium">
        <color indexed="8"/>
      </bottom>
    </border>
    <border>
      <left style="thick">
        <color indexed="8"/>
      </left>
      <right>
        <color indexed="63"/>
      </right>
      <top style="thick">
        <color indexed="8"/>
      </top>
      <bottom style="thin"/>
    </border>
    <border>
      <left>
        <color indexed="63"/>
      </left>
      <right>
        <color indexed="63"/>
      </right>
      <top style="thick">
        <color indexed="8"/>
      </top>
      <bottom style="thin"/>
    </border>
    <border>
      <left>
        <color indexed="63"/>
      </left>
      <right style="thick">
        <color indexed="8"/>
      </right>
      <top style="thick">
        <color indexed="8"/>
      </top>
      <bottom style="thin"/>
    </border>
    <border>
      <left style="medium">
        <color indexed="46"/>
      </left>
      <right style="medium">
        <color indexed="8"/>
      </right>
      <top>
        <color indexed="63"/>
      </top>
      <bottom>
        <color indexed="63"/>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cellStyleXfs>
  <cellXfs count="1129">
    <xf numFmtId="0" fontId="0" fillId="0" borderId="0" xfId="0" applyAlignment="1">
      <alignment/>
    </xf>
    <xf numFmtId="41" fontId="0" fillId="0" borderId="0" xfId="20" applyAlignment="1">
      <alignment/>
    </xf>
    <xf numFmtId="0" fontId="0" fillId="0" borderId="0" xfId="0" applyBorder="1" applyAlignment="1">
      <alignment/>
    </xf>
    <xf numFmtId="41" fontId="0" fillId="0" borderId="0" xfId="2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65" fontId="0" fillId="0" borderId="0" xfId="0" applyNumberFormat="1" applyBorder="1" applyAlignment="1">
      <alignment/>
    </xf>
    <xf numFmtId="0" fontId="0" fillId="0" borderId="4" xfId="0" applyBorder="1" applyAlignment="1">
      <alignment/>
    </xf>
    <xf numFmtId="0" fontId="0" fillId="0" borderId="5" xfId="0" applyBorder="1" applyAlignment="1">
      <alignment/>
    </xf>
    <xf numFmtId="0" fontId="3" fillId="0" borderId="0" xfId="0" applyFont="1" applyBorder="1" applyAlignment="1">
      <alignment/>
    </xf>
    <xf numFmtId="165" fontId="0" fillId="0" borderId="6" xfId="0" applyNumberFormat="1" applyBorder="1" applyAlignment="1">
      <alignment/>
    </xf>
    <xf numFmtId="41" fontId="0" fillId="0" borderId="3" xfId="20" applyBorder="1" applyAlignment="1">
      <alignment/>
    </xf>
    <xf numFmtId="0" fontId="3" fillId="0" borderId="5" xfId="0" applyFont="1" applyBorder="1" applyAlignment="1">
      <alignment/>
    </xf>
    <xf numFmtId="10" fontId="0" fillId="0" borderId="0" xfId="19" applyNumberFormat="1" applyBorder="1" applyAlignment="1">
      <alignment/>
    </xf>
    <xf numFmtId="165" fontId="0" fillId="0" borderId="0" xfId="17" applyBorder="1" applyAlignment="1">
      <alignment/>
    </xf>
    <xf numFmtId="0" fontId="0" fillId="0" borderId="7" xfId="0" applyBorder="1" applyAlignment="1">
      <alignment/>
    </xf>
    <xf numFmtId="0" fontId="0" fillId="0" borderId="0" xfId="0" applyFont="1" applyAlignment="1">
      <alignment/>
    </xf>
    <xf numFmtId="0" fontId="0" fillId="0" borderId="0" xfId="0" applyFont="1" applyBorder="1" applyAlignment="1">
      <alignment/>
    </xf>
    <xf numFmtId="171" fontId="0" fillId="0" borderId="0" xfId="20" applyNumberFormat="1" applyFont="1" applyAlignment="1">
      <alignment/>
    </xf>
    <xf numFmtId="165" fontId="6" fillId="0" borderId="0" xfId="17" applyNumberFormat="1" applyFont="1" applyBorder="1" applyAlignment="1">
      <alignment/>
    </xf>
    <xf numFmtId="165" fontId="0" fillId="0" borderId="0" xfId="17" applyAlignment="1">
      <alignment/>
    </xf>
    <xf numFmtId="0" fontId="0" fillId="2" borderId="0" xfId="0" applyFill="1" applyBorder="1" applyAlignment="1">
      <alignment/>
    </xf>
    <xf numFmtId="0" fontId="0" fillId="2" borderId="0" xfId="0" applyFill="1" applyBorder="1" applyAlignment="1">
      <alignment vertical="center"/>
    </xf>
    <xf numFmtId="0" fontId="3"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2" fillId="0" borderId="5" xfId="0" applyFont="1" applyBorder="1" applyAlignment="1">
      <alignment/>
    </xf>
    <xf numFmtId="0" fontId="3" fillId="0" borderId="1" xfId="0" applyFont="1" applyBorder="1" applyAlignment="1">
      <alignment horizontal="center"/>
    </xf>
    <xf numFmtId="0" fontId="3" fillId="0" borderId="6" xfId="0" applyFont="1" applyBorder="1" applyAlignment="1">
      <alignment horizontal="center"/>
    </xf>
    <xf numFmtId="0" fontId="2" fillId="0" borderId="2" xfId="0" applyFont="1" applyBorder="1" applyAlignment="1">
      <alignment/>
    </xf>
    <xf numFmtId="0" fontId="0" fillId="0" borderId="3" xfId="0" applyFont="1" applyBorder="1" applyAlignment="1">
      <alignment horizontal="center"/>
    </xf>
    <xf numFmtId="0" fontId="0" fillId="0" borderId="7" xfId="0" applyBorder="1" applyAlignment="1">
      <alignment horizontal="center"/>
    </xf>
    <xf numFmtId="41" fontId="0" fillId="0" borderId="6" xfId="20" applyBorder="1" applyAlignment="1">
      <alignment/>
    </xf>
    <xf numFmtId="0" fontId="12" fillId="0" borderId="0" xfId="0" applyFont="1" applyAlignment="1">
      <alignment/>
    </xf>
    <xf numFmtId="164" fontId="0" fillId="0" borderId="0" xfId="0" applyNumberFormat="1" applyAlignment="1">
      <alignment/>
    </xf>
    <xf numFmtId="188" fontId="0" fillId="0" borderId="0" xfId="20" applyNumberFormat="1" applyAlignment="1">
      <alignment/>
    </xf>
    <xf numFmtId="0" fontId="0" fillId="0" borderId="0" xfId="0" applyNumberFormat="1" applyAlignment="1">
      <alignment/>
    </xf>
    <xf numFmtId="0" fontId="0" fillId="0" borderId="0" xfId="20" applyNumberFormat="1" applyAlignment="1">
      <alignment/>
    </xf>
    <xf numFmtId="0" fontId="0" fillId="2" borderId="0" xfId="0" applyFill="1" applyAlignment="1">
      <alignment/>
    </xf>
    <xf numFmtId="164" fontId="0" fillId="2" borderId="8" xfId="0" applyNumberFormat="1" applyFont="1" applyFill="1" applyBorder="1" applyAlignment="1">
      <alignment/>
    </xf>
    <xf numFmtId="0" fontId="0" fillId="2" borderId="0" xfId="0" applyFont="1" applyFill="1" applyAlignment="1">
      <alignment/>
    </xf>
    <xf numFmtId="0" fontId="0" fillId="2" borderId="0" xfId="0" applyFill="1" applyAlignment="1">
      <alignment/>
    </xf>
    <xf numFmtId="165" fontId="0" fillId="0" borderId="0" xfId="17" applyFont="1" applyFill="1" applyBorder="1" applyAlignment="1" applyProtection="1">
      <alignment/>
      <protection locked="0"/>
    </xf>
    <xf numFmtId="164" fontId="3" fillId="2" borderId="8" xfId="0" applyNumberFormat="1" applyFont="1" applyFill="1" applyBorder="1" applyAlignment="1">
      <alignment horizontal="center" wrapText="1"/>
    </xf>
    <xf numFmtId="0" fontId="3" fillId="2" borderId="8" xfId="0" applyFont="1" applyFill="1" applyBorder="1" applyAlignment="1">
      <alignment horizontal="center" wrapText="1"/>
    </xf>
    <xf numFmtId="0" fontId="0" fillId="0" borderId="9" xfId="0" applyBorder="1" applyAlignment="1" applyProtection="1">
      <alignment horizontal="center"/>
      <protection locked="0"/>
    </xf>
    <xf numFmtId="0" fontId="0" fillId="3" borderId="0" xfId="0" applyFill="1" applyBorder="1" applyAlignment="1">
      <alignment/>
    </xf>
    <xf numFmtId="38" fontId="0" fillId="3" borderId="8" xfId="20" applyNumberFormat="1" applyFont="1" applyFill="1" applyBorder="1" applyAlignment="1">
      <alignment/>
    </xf>
    <xf numFmtId="164" fontId="0" fillId="3" borderId="8" xfId="0" applyNumberFormat="1" applyFont="1" applyFill="1" applyBorder="1" applyAlignment="1">
      <alignment/>
    </xf>
    <xf numFmtId="164" fontId="3" fillId="3" borderId="8" xfId="0" applyNumberFormat="1" applyFont="1" applyFill="1" applyBorder="1" applyAlignment="1">
      <alignment horizontal="right"/>
    </xf>
    <xf numFmtId="0" fontId="3" fillId="0" borderId="10" xfId="0" applyFont="1" applyFill="1" applyBorder="1" applyAlignment="1">
      <alignment horizontal="centerContinuous" vertical="center"/>
    </xf>
    <xf numFmtId="0" fontId="14" fillId="2" borderId="0" xfId="0" applyFont="1" applyFill="1" applyAlignment="1">
      <alignment horizontal="centerContinuous"/>
    </xf>
    <xf numFmtId="0" fontId="13" fillId="2" borderId="0" xfId="0" applyFont="1" applyFill="1" applyBorder="1" applyAlignment="1">
      <alignment horizontal="centerContinuous"/>
    </xf>
    <xf numFmtId="0" fontId="0" fillId="3" borderId="0" xfId="0" applyFill="1" applyAlignment="1">
      <alignment/>
    </xf>
    <xf numFmtId="0" fontId="0" fillId="3" borderId="11" xfId="0" applyFill="1" applyBorder="1" applyAlignment="1">
      <alignment/>
    </xf>
    <xf numFmtId="0" fontId="3" fillId="3" borderId="11" xfId="0" applyFont="1" applyFill="1" applyBorder="1" applyAlignment="1">
      <alignment horizontal="right"/>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1" xfId="0" applyFont="1" applyFill="1" applyBorder="1" applyAlignment="1">
      <alignment horizontal="left"/>
    </xf>
    <xf numFmtId="178" fontId="0" fillId="3" borderId="8" xfId="0" applyNumberFormat="1" applyFill="1" applyBorder="1" applyAlignment="1" applyProtection="1">
      <alignment/>
      <protection/>
    </xf>
    <xf numFmtId="178" fontId="0" fillId="3" borderId="8" xfId="0" applyNumberFormat="1" applyFill="1" applyBorder="1" applyAlignment="1" applyProtection="1">
      <alignment/>
      <protection locked="0"/>
    </xf>
    <xf numFmtId="0" fontId="0" fillId="3" borderId="0" xfId="0" applyFill="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164" fontId="0" fillId="0" borderId="0" xfId="0" applyNumberFormat="1" applyFont="1" applyBorder="1" applyAlignment="1" applyProtection="1">
      <alignment/>
      <protection locked="0"/>
    </xf>
    <xf numFmtId="164" fontId="6" fillId="0" borderId="0" xfId="0" applyNumberFormat="1" applyFont="1" applyBorder="1" applyAlignment="1" applyProtection="1">
      <alignment/>
      <protection locked="0"/>
    </xf>
    <xf numFmtId="165" fontId="0" fillId="0" borderId="0" xfId="17" applyNumberFormat="1" applyFont="1" applyBorder="1" applyAlignment="1" applyProtection="1">
      <alignment/>
      <protection locked="0"/>
    </xf>
    <xf numFmtId="0" fontId="0" fillId="0" borderId="0" xfId="0" applyFont="1" applyAlignment="1" applyProtection="1">
      <alignment/>
      <protection locked="0"/>
    </xf>
    <xf numFmtId="2" fontId="6" fillId="0" borderId="0" xfId="0" applyNumberFormat="1" applyFont="1" applyBorder="1" applyAlignment="1" applyProtection="1">
      <alignment horizontal="right"/>
      <protection locked="0"/>
    </xf>
    <xf numFmtId="164" fontId="0" fillId="0" borderId="0" xfId="0" applyNumberFormat="1" applyFont="1" applyAlignment="1" applyProtection="1">
      <alignment/>
      <protection locked="0"/>
    </xf>
    <xf numFmtId="164" fontId="0" fillId="0" borderId="0" xfId="0" applyNumberFormat="1" applyFont="1" applyAlignment="1" applyProtection="1">
      <alignment horizontal="right"/>
      <protection locked="0"/>
    </xf>
    <xf numFmtId="164" fontId="8" fillId="0" borderId="0" xfId="0" applyNumberFormat="1" applyFont="1" applyAlignment="1" applyProtection="1">
      <alignment/>
      <protection locked="0"/>
    </xf>
    <xf numFmtId="165" fontId="0" fillId="0" borderId="3" xfId="0" applyNumberFormat="1" applyBorder="1" applyAlignment="1" applyProtection="1">
      <alignment/>
      <protection locked="0"/>
    </xf>
    <xf numFmtId="10" fontId="0" fillId="0" borderId="0" xfId="0" applyNumberFormat="1" applyBorder="1" applyAlignment="1" applyProtection="1">
      <alignment/>
      <protection locked="0"/>
    </xf>
    <xf numFmtId="10" fontId="0" fillId="0" borderId="3" xfId="0" applyNumberFormat="1" applyBorder="1" applyAlignment="1" applyProtection="1">
      <alignment/>
      <protection locked="0"/>
    </xf>
    <xf numFmtId="0" fontId="0" fillId="0" borderId="0" xfId="0" applyBorder="1" applyAlignment="1" applyProtection="1">
      <alignment/>
      <protection locked="0"/>
    </xf>
    <xf numFmtId="0" fontId="0" fillId="0" borderId="3" xfId="0" applyNumberFormat="1" applyBorder="1" applyAlignment="1" applyProtection="1">
      <alignment/>
      <protection locked="0"/>
    </xf>
    <xf numFmtId="0" fontId="0" fillId="0" borderId="3" xfId="0" applyBorder="1" applyAlignment="1" applyProtection="1">
      <alignment/>
      <protection locked="0"/>
    </xf>
    <xf numFmtId="165" fontId="0" fillId="0" borderId="0" xfId="0" applyNumberFormat="1" applyBorder="1" applyAlignment="1" applyProtection="1">
      <alignment/>
      <protection locked="0"/>
    </xf>
    <xf numFmtId="170" fontId="0" fillId="3" borderId="0" xfId="0" applyNumberFormat="1" applyFill="1" applyBorder="1" applyAlignment="1" applyProtection="1">
      <alignment/>
      <protection/>
    </xf>
    <xf numFmtId="172" fontId="0" fillId="3" borderId="0" xfId="0" applyNumberFormat="1" applyFill="1" applyBorder="1" applyAlignment="1" applyProtection="1">
      <alignment/>
      <protection/>
    </xf>
    <xf numFmtId="10" fontId="0" fillId="0" borderId="1" xfId="0" applyNumberFormat="1" applyFont="1" applyBorder="1" applyAlignment="1">
      <alignment horizontal="center"/>
    </xf>
    <xf numFmtId="165" fontId="6" fillId="0" borderId="1" xfId="17" applyNumberFormat="1" applyFont="1" applyBorder="1" applyAlignment="1">
      <alignment/>
    </xf>
    <xf numFmtId="165" fontId="0" fillId="0" borderId="6" xfId="0" applyNumberFormat="1" applyFont="1" applyBorder="1" applyAlignment="1">
      <alignment/>
    </xf>
    <xf numFmtId="2" fontId="7" fillId="0" borderId="2" xfId="0" applyNumberFormat="1" applyFont="1" applyBorder="1" applyAlignment="1">
      <alignment horizontal="center"/>
    </xf>
    <xf numFmtId="0" fontId="6" fillId="0" borderId="0" xfId="20" applyNumberFormat="1" applyFont="1" applyBorder="1" applyAlignment="1">
      <alignment/>
    </xf>
    <xf numFmtId="165" fontId="0" fillId="0" borderId="3" xfId="0" applyNumberFormat="1" applyFont="1" applyBorder="1" applyAlignment="1">
      <alignment/>
    </xf>
    <xf numFmtId="2" fontId="10" fillId="0" borderId="2" xfId="0" applyNumberFormat="1" applyFont="1" applyBorder="1" applyAlignment="1">
      <alignment horizontal="left"/>
    </xf>
    <xf numFmtId="0" fontId="6" fillId="0" borderId="0" xfId="17" applyNumberFormat="1" applyFont="1" applyBorder="1" applyAlignment="1">
      <alignment/>
    </xf>
    <xf numFmtId="0" fontId="6" fillId="0" borderId="0" xfId="17" applyNumberFormat="1" applyFont="1" applyBorder="1" applyAlignment="1">
      <alignment horizontal="center"/>
    </xf>
    <xf numFmtId="0" fontId="0" fillId="0" borderId="3" xfId="0" applyFont="1" applyBorder="1" applyAlignment="1">
      <alignment/>
    </xf>
    <xf numFmtId="0" fontId="0" fillId="0" borderId="2" xfId="0" applyFont="1" applyBorder="1" applyAlignment="1">
      <alignment/>
    </xf>
    <xf numFmtId="165" fontId="0" fillId="0" borderId="2" xfId="17" applyFont="1" applyBorder="1" applyAlignment="1">
      <alignment/>
    </xf>
    <xf numFmtId="167" fontId="0" fillId="0" borderId="4" xfId="0" applyNumberFormat="1" applyFont="1" applyBorder="1" applyAlignment="1">
      <alignment/>
    </xf>
    <xf numFmtId="0" fontId="0" fillId="0" borderId="11" xfId="0" applyBorder="1" applyAlignment="1">
      <alignment/>
    </xf>
    <xf numFmtId="0" fontId="0" fillId="0" borderId="0" xfId="0" applyFill="1" applyBorder="1" applyAlignment="1">
      <alignment/>
    </xf>
    <xf numFmtId="193" fontId="0" fillId="2" borderId="0" xfId="0" applyNumberFormat="1" applyFill="1" applyAlignment="1">
      <alignment/>
    </xf>
    <xf numFmtId="9" fontId="0" fillId="2" borderId="0" xfId="0" applyNumberFormat="1" applyFill="1" applyAlignment="1">
      <alignment/>
    </xf>
    <xf numFmtId="10" fontId="0" fillId="2" borderId="0" xfId="0" applyNumberFormat="1" applyFill="1" applyAlignment="1">
      <alignment/>
    </xf>
    <xf numFmtId="9" fontId="0" fillId="0" borderId="0" xfId="0" applyNumberFormat="1" applyAlignment="1">
      <alignment/>
    </xf>
    <xf numFmtId="0" fontId="0" fillId="2" borderId="0" xfId="0" applyFill="1" applyAlignment="1">
      <alignment horizontal="right"/>
    </xf>
    <xf numFmtId="2" fontId="0" fillId="2" borderId="0" xfId="0" applyNumberFormat="1" applyFill="1" applyAlignment="1">
      <alignment/>
    </xf>
    <xf numFmtId="41" fontId="0" fillId="0" borderId="0" xfId="20" applyFont="1" applyBorder="1" applyAlignment="1">
      <alignment/>
    </xf>
    <xf numFmtId="172" fontId="0" fillId="3" borderId="8" xfId="19" applyNumberFormat="1" applyFill="1" applyBorder="1" applyAlignment="1" applyProtection="1">
      <alignment/>
      <protection/>
    </xf>
    <xf numFmtId="0" fontId="0" fillId="3" borderId="0" xfId="0" applyFill="1" applyAlignment="1">
      <alignment horizontal="right"/>
    </xf>
    <xf numFmtId="193" fontId="0" fillId="3" borderId="0" xfId="0" applyNumberFormat="1" applyFill="1" applyAlignment="1">
      <alignment/>
    </xf>
    <xf numFmtId="0" fontId="3" fillId="2" borderId="0" xfId="0" applyFont="1" applyFill="1" applyAlignment="1">
      <alignment horizontal="right"/>
    </xf>
    <xf numFmtId="199" fontId="0" fillId="3" borderId="8" xfId="0" applyNumberFormat="1" applyFill="1" applyBorder="1" applyAlignment="1" applyProtection="1">
      <alignment/>
      <protection locked="0"/>
    </xf>
    <xf numFmtId="172" fontId="0" fillId="3" borderId="0" xfId="0" applyNumberFormat="1" applyFill="1" applyAlignment="1">
      <alignment/>
    </xf>
    <xf numFmtId="178" fontId="0" fillId="3" borderId="0" xfId="0" applyNumberFormat="1" applyFill="1" applyAlignment="1">
      <alignment/>
    </xf>
    <xf numFmtId="0" fontId="18" fillId="2" borderId="0" xfId="0" applyFont="1" applyFill="1" applyAlignment="1">
      <alignment/>
    </xf>
    <xf numFmtId="41" fontId="0" fillId="3" borderId="0" xfId="20" applyFill="1" applyAlignment="1">
      <alignment/>
    </xf>
    <xf numFmtId="4" fontId="0" fillId="2" borderId="0" xfId="0" applyNumberFormat="1" applyFill="1" applyAlignment="1">
      <alignment/>
    </xf>
    <xf numFmtId="4" fontId="0" fillId="0" borderId="0" xfId="0" applyNumberFormat="1" applyAlignment="1">
      <alignment/>
    </xf>
    <xf numFmtId="41" fontId="0" fillId="3" borderId="0" xfId="20" applyFill="1" applyBorder="1" applyAlignment="1" applyProtection="1">
      <alignment/>
      <protection/>
    </xf>
    <xf numFmtId="41" fontId="0" fillId="0" borderId="9" xfId="20" applyFont="1" applyBorder="1" applyAlignment="1">
      <alignment/>
    </xf>
    <xf numFmtId="41" fontId="1" fillId="0" borderId="0" xfId="20" applyFont="1" applyBorder="1" applyAlignment="1">
      <alignment/>
    </xf>
    <xf numFmtId="41" fontId="0" fillId="0" borderId="3" xfId="20" applyFont="1" applyBorder="1" applyAlignment="1">
      <alignment/>
    </xf>
    <xf numFmtId="41" fontId="0" fillId="0" borderId="7" xfId="20" applyFont="1" applyBorder="1" applyAlignment="1">
      <alignment/>
    </xf>
    <xf numFmtId="41" fontId="0" fillId="0" borderId="0" xfId="20" applyBorder="1" applyAlignment="1" applyProtection="1">
      <alignment/>
      <protection locked="0"/>
    </xf>
    <xf numFmtId="41" fontId="0" fillId="0" borderId="3" xfId="20" applyBorder="1" applyAlignment="1" applyProtection="1">
      <alignment/>
      <protection locked="0"/>
    </xf>
    <xf numFmtId="41" fontId="0" fillId="0" borderId="1" xfId="20" applyBorder="1" applyAlignment="1">
      <alignment/>
    </xf>
    <xf numFmtId="41" fontId="0" fillId="0" borderId="9" xfId="20" applyBorder="1" applyAlignment="1">
      <alignment/>
    </xf>
    <xf numFmtId="41" fontId="0" fillId="0" borderId="7" xfId="20" applyBorder="1" applyAlignment="1">
      <alignment/>
    </xf>
    <xf numFmtId="41" fontId="0" fillId="3" borderId="8" xfId="20" applyFont="1" applyFill="1" applyBorder="1" applyAlignment="1" applyProtection="1">
      <alignment/>
      <protection/>
    </xf>
    <xf numFmtId="41" fontId="0" fillId="3" borderId="8" xfId="20" applyFont="1" applyFill="1" applyBorder="1" applyAlignment="1" applyProtection="1">
      <alignment/>
      <protection locked="0"/>
    </xf>
    <xf numFmtId="41" fontId="0" fillId="2" borderId="0" xfId="20" applyFill="1" applyAlignment="1">
      <alignment/>
    </xf>
    <xf numFmtId="41" fontId="3" fillId="3" borderId="15" xfId="20" applyFont="1" applyFill="1" applyBorder="1" applyAlignment="1">
      <alignment/>
    </xf>
    <xf numFmtId="41" fontId="0" fillId="3" borderId="0" xfId="20" applyFont="1" applyFill="1" applyBorder="1" applyAlignment="1">
      <alignment/>
    </xf>
    <xf numFmtId="41" fontId="0" fillId="3" borderId="16" xfId="20" applyFill="1" applyBorder="1" applyAlignment="1" applyProtection="1">
      <alignment horizontal="right"/>
      <protection/>
    </xf>
    <xf numFmtId="41" fontId="0" fillId="3" borderId="17" xfId="20" applyFill="1" applyBorder="1" applyAlignment="1" applyProtection="1">
      <alignment horizontal="right"/>
      <protection/>
    </xf>
    <xf numFmtId="41" fontId="0" fillId="3" borderId="16" xfId="20" applyFill="1" applyBorder="1" applyAlignment="1" applyProtection="1">
      <alignment/>
      <protection/>
    </xf>
    <xf numFmtId="41" fontId="0" fillId="0" borderId="0" xfId="20" applyFont="1" applyAlignment="1">
      <alignment/>
    </xf>
    <xf numFmtId="41" fontId="0" fillId="0" borderId="0" xfId="20" applyFont="1" applyBorder="1" applyAlignment="1">
      <alignment horizontal="left"/>
    </xf>
    <xf numFmtId="41" fontId="0" fillId="3" borderId="0" xfId="0" applyNumberFormat="1" applyFill="1" applyBorder="1" applyAlignment="1">
      <alignment/>
    </xf>
    <xf numFmtId="0" fontId="3" fillId="0" borderId="0" xfId="0" applyFont="1" applyFill="1" applyBorder="1" applyAlignment="1">
      <alignment horizontal="center" vertical="center"/>
    </xf>
    <xf numFmtId="0" fontId="3" fillId="0" borderId="5" xfId="0" applyFont="1" applyBorder="1" applyAlignment="1">
      <alignment horizontal="left"/>
    </xf>
    <xf numFmtId="41" fontId="0" fillId="0" borderId="0" xfId="0" applyNumberFormat="1" applyFont="1" applyAlignment="1" applyProtection="1">
      <alignment/>
      <protection locked="0"/>
    </xf>
    <xf numFmtId="0" fontId="0" fillId="0" borderId="0" xfId="0" applyFont="1" applyBorder="1" applyAlignment="1">
      <alignment horizontal="right"/>
    </xf>
    <xf numFmtId="165" fontId="4" fillId="0" borderId="0" xfId="0" applyNumberFormat="1" applyFont="1" applyBorder="1" applyAlignment="1">
      <alignment horizontal="center"/>
    </xf>
    <xf numFmtId="199" fontId="4" fillId="0" borderId="0" xfId="0" applyNumberFormat="1" applyFont="1" applyBorder="1" applyAlignment="1" applyProtection="1">
      <alignment/>
      <protection/>
    </xf>
    <xf numFmtId="199" fontId="0" fillId="0" borderId="0" xfId="0" applyNumberFormat="1" applyFill="1" applyBorder="1" applyAlignment="1" applyProtection="1">
      <alignment/>
      <protection/>
    </xf>
    <xf numFmtId="0" fontId="0" fillId="0" borderId="0" xfId="0" applyBorder="1" applyAlignment="1">
      <alignment horizontal="left"/>
    </xf>
    <xf numFmtId="41" fontId="0" fillId="0" borderId="0" xfId="20" applyFont="1" applyBorder="1" applyAlignment="1">
      <alignment horizontal="center"/>
    </xf>
    <xf numFmtId="0" fontId="0" fillId="0" borderId="5" xfId="0" applyBorder="1" applyAlignment="1">
      <alignment horizontal="center"/>
    </xf>
    <xf numFmtId="0" fontId="0" fillId="0" borderId="6" xfId="0" applyBorder="1" applyAlignment="1">
      <alignment/>
    </xf>
    <xf numFmtId="41" fontId="0" fillId="0" borderId="0" xfId="20" applyNumberFormat="1" applyBorder="1" applyAlignment="1">
      <alignment/>
    </xf>
    <xf numFmtId="0" fontId="0" fillId="0" borderId="4" xfId="0" applyFill="1" applyBorder="1" applyAlignment="1">
      <alignment/>
    </xf>
    <xf numFmtId="0" fontId="0" fillId="0" borderId="9" xfId="0" applyBorder="1" applyAlignment="1">
      <alignment/>
    </xf>
    <xf numFmtId="41" fontId="0" fillId="0" borderId="7" xfId="0" applyNumberFormat="1" applyBorder="1" applyAlignment="1">
      <alignment/>
    </xf>
    <xf numFmtId="0" fontId="19" fillId="0" borderId="0" xfId="0" applyFont="1" applyAlignment="1">
      <alignment/>
    </xf>
    <xf numFmtId="41" fontId="0" fillId="0" borderId="0" xfId="0" applyNumberFormat="1" applyAlignment="1">
      <alignment/>
    </xf>
    <xf numFmtId="0" fontId="0" fillId="0" borderId="18" xfId="0" applyBorder="1" applyAlignment="1">
      <alignment horizontal="center"/>
    </xf>
    <xf numFmtId="43" fontId="0" fillId="3" borderId="19" xfId="0" applyNumberFormat="1" applyFill="1" applyBorder="1" applyAlignment="1">
      <alignment/>
    </xf>
    <xf numFmtId="43" fontId="0" fillId="3" borderId="20" xfId="0" applyNumberFormat="1" applyFill="1" applyBorder="1" applyAlignment="1">
      <alignment/>
    </xf>
    <xf numFmtId="2" fontId="0" fillId="3" borderId="18" xfId="0" applyNumberFormat="1" applyFill="1" applyBorder="1" applyAlignment="1">
      <alignment/>
    </xf>
    <xf numFmtId="2" fontId="0" fillId="3" borderId="21" xfId="0" applyNumberFormat="1" applyFill="1" applyBorder="1" applyAlignment="1">
      <alignment/>
    </xf>
    <xf numFmtId="43" fontId="0" fillId="3" borderId="18" xfId="0" applyNumberFormat="1" applyFill="1" applyBorder="1" applyAlignment="1">
      <alignment/>
    </xf>
    <xf numFmtId="43" fontId="0" fillId="3" borderId="21" xfId="0" applyNumberFormat="1" applyFill="1" applyBorder="1" applyAlignment="1">
      <alignment/>
    </xf>
    <xf numFmtId="172" fontId="0" fillId="3" borderId="18" xfId="19" applyNumberFormat="1" applyFill="1" applyBorder="1" applyAlignment="1">
      <alignment/>
    </xf>
    <xf numFmtId="172" fontId="0" fillId="3" borderId="21" xfId="19" applyNumberFormat="1" applyFill="1" applyBorder="1" applyAlignment="1">
      <alignment/>
    </xf>
    <xf numFmtId="172" fontId="0" fillId="3" borderId="18" xfId="0" applyNumberFormat="1" applyFill="1" applyBorder="1" applyAlignment="1">
      <alignment/>
    </xf>
    <xf numFmtId="172" fontId="0" fillId="3" borderId="21" xfId="0" applyNumberFormat="1" applyFill="1" applyBorder="1" applyAlignment="1">
      <alignment/>
    </xf>
    <xf numFmtId="41" fontId="0" fillId="3" borderId="22" xfId="0" applyNumberFormat="1" applyFill="1" applyBorder="1" applyAlignment="1">
      <alignment/>
    </xf>
    <xf numFmtId="41" fontId="0" fillId="3" borderId="23" xfId="0" applyNumberFormat="1" applyFill="1" applyBorder="1" applyAlignment="1">
      <alignment/>
    </xf>
    <xf numFmtId="0" fontId="1" fillId="4" borderId="24" xfId="0" applyFont="1" applyFill="1" applyBorder="1" applyAlignment="1">
      <alignment/>
    </xf>
    <xf numFmtId="164" fontId="3" fillId="4" borderId="24" xfId="0" applyNumberFormat="1" applyFont="1" applyFill="1" applyBorder="1" applyAlignment="1">
      <alignment horizontal="right"/>
    </xf>
    <xf numFmtId="172" fontId="0" fillId="4" borderId="25" xfId="19" applyNumberFormat="1" applyFont="1" applyFill="1" applyBorder="1" applyAlignment="1" applyProtection="1">
      <alignment horizontal="center"/>
      <protection/>
    </xf>
    <xf numFmtId="164" fontId="0" fillId="4" borderId="0" xfId="0" applyNumberFormat="1" applyFont="1" applyFill="1" applyBorder="1" applyAlignment="1" applyProtection="1">
      <alignment/>
      <protection/>
    </xf>
    <xf numFmtId="0" fontId="0" fillId="4" borderId="0" xfId="0" applyFill="1" applyAlignment="1">
      <alignment/>
    </xf>
    <xf numFmtId="41" fontId="6" fillId="3" borderId="0" xfId="20" applyFont="1" applyFill="1" applyBorder="1" applyAlignment="1">
      <alignment/>
    </xf>
    <xf numFmtId="41" fontId="0" fillId="3" borderId="9" xfId="20" applyFont="1" applyFill="1" applyBorder="1" applyAlignment="1">
      <alignment/>
    </xf>
    <xf numFmtId="187" fontId="0" fillId="3" borderId="0" xfId="20" applyNumberFormat="1" applyFont="1" applyFill="1" applyBorder="1" applyAlignment="1">
      <alignment/>
    </xf>
    <xf numFmtId="41" fontId="6" fillId="3" borderId="9" xfId="20" applyFont="1" applyFill="1" applyBorder="1" applyAlignment="1">
      <alignment/>
    </xf>
    <xf numFmtId="2" fontId="7" fillId="3" borderId="0" xfId="0" applyNumberFormat="1" applyFont="1" applyFill="1" applyBorder="1" applyAlignment="1">
      <alignment horizontal="left"/>
    </xf>
    <xf numFmtId="2" fontId="6" fillId="3" borderId="0" xfId="0" applyNumberFormat="1" applyFont="1" applyFill="1" applyBorder="1" applyAlignment="1">
      <alignment/>
    </xf>
    <xf numFmtId="2" fontId="10" fillId="3" borderId="0" xfId="0" applyNumberFormat="1" applyFont="1" applyFill="1" applyBorder="1" applyAlignment="1">
      <alignment horizontal="left"/>
    </xf>
    <xf numFmtId="2" fontId="7" fillId="3" borderId="0" xfId="0" applyNumberFormat="1" applyFont="1" applyFill="1" applyBorder="1" applyAlignment="1">
      <alignment horizontal="right"/>
    </xf>
    <xf numFmtId="2" fontId="7" fillId="3" borderId="0" xfId="0" applyNumberFormat="1" applyFont="1" applyFill="1" applyBorder="1" applyAlignment="1">
      <alignment horizontal="center"/>
    </xf>
    <xf numFmtId="2" fontId="6" fillId="3" borderId="0" xfId="0" applyNumberFormat="1" applyFont="1" applyFill="1" applyBorder="1" applyAlignment="1">
      <alignment horizontal="left"/>
    </xf>
    <xf numFmtId="172" fontId="3" fillId="3" borderId="0" xfId="19" applyNumberFormat="1" applyFont="1" applyFill="1" applyBorder="1" applyAlignment="1">
      <alignment/>
    </xf>
    <xf numFmtId="0" fontId="0" fillId="3" borderId="0" xfId="0" applyFont="1" applyFill="1" applyBorder="1" applyAlignment="1">
      <alignment horizontal="left"/>
    </xf>
    <xf numFmtId="41" fontId="0" fillId="3" borderId="0" xfId="20" applyFont="1" applyFill="1" applyBorder="1" applyAlignment="1">
      <alignment horizontal="left"/>
    </xf>
    <xf numFmtId="0" fontId="3" fillId="3" borderId="26" xfId="0" applyFont="1" applyFill="1" applyBorder="1" applyAlignment="1">
      <alignment/>
    </xf>
    <xf numFmtId="41" fontId="0" fillId="3" borderId="11" xfId="20" applyFont="1" applyFill="1" applyBorder="1" applyAlignment="1">
      <alignment horizontal="left" indent="2"/>
    </xf>
    <xf numFmtId="41" fontId="3" fillId="3" borderId="11" xfId="20" applyFont="1" applyFill="1" applyBorder="1" applyAlignment="1">
      <alignment horizontal="left" indent="1"/>
    </xf>
    <xf numFmtId="41" fontId="3" fillId="3" borderId="11" xfId="20" applyFont="1" applyFill="1" applyBorder="1" applyAlignment="1">
      <alignment horizontal="left" indent="2"/>
    </xf>
    <xf numFmtId="0" fontId="3" fillId="3" borderId="11" xfId="0" applyFont="1" applyFill="1" applyBorder="1" applyAlignment="1">
      <alignment horizontal="left" indent="1"/>
    </xf>
    <xf numFmtId="0" fontId="0" fillId="3" borderId="11" xfId="0" applyFont="1" applyFill="1" applyBorder="1" applyAlignment="1">
      <alignment horizontal="left" indent="3"/>
    </xf>
    <xf numFmtId="171" fontId="0" fillId="3" borderId="0" xfId="20" applyNumberFormat="1" applyFont="1" applyFill="1" applyBorder="1" applyAlignment="1">
      <alignment horizontal="left"/>
    </xf>
    <xf numFmtId="0" fontId="3" fillId="3" borderId="13" xfId="0" applyFont="1" applyFill="1" applyBorder="1" applyAlignment="1">
      <alignment/>
    </xf>
    <xf numFmtId="171" fontId="0" fillId="3" borderId="0" xfId="20" applyNumberFormat="1" applyFont="1" applyFill="1" applyBorder="1" applyAlignment="1">
      <alignment/>
    </xf>
    <xf numFmtId="0" fontId="3" fillId="3" borderId="11" xfId="0" applyFont="1" applyFill="1" applyBorder="1" applyAlignment="1">
      <alignment horizontal="left" indent="2"/>
    </xf>
    <xf numFmtId="0" fontId="0" fillId="3" borderId="11" xfId="0" applyFont="1" applyFill="1" applyBorder="1" applyAlignment="1">
      <alignment horizontal="left" indent="4"/>
    </xf>
    <xf numFmtId="0" fontId="0" fillId="3" borderId="11" xfId="0" applyFill="1" applyBorder="1" applyAlignment="1">
      <alignment horizontal="left" indent="4"/>
    </xf>
    <xf numFmtId="0" fontId="0" fillId="3" borderId="11" xfId="0" applyFill="1" applyBorder="1" applyAlignment="1">
      <alignment horizontal="left" indent="2"/>
    </xf>
    <xf numFmtId="0" fontId="0" fillId="3" borderId="27" xfId="0" applyFont="1" applyFill="1" applyBorder="1" applyAlignment="1">
      <alignment/>
    </xf>
    <xf numFmtId="165" fontId="4" fillId="3" borderId="27" xfId="0" applyNumberFormat="1" applyFont="1" applyFill="1" applyBorder="1" applyAlignment="1">
      <alignment/>
    </xf>
    <xf numFmtId="165" fontId="0" fillId="3" borderId="27" xfId="0" applyNumberFormat="1" applyFont="1" applyFill="1" applyBorder="1" applyAlignment="1">
      <alignment/>
    </xf>
    <xf numFmtId="0" fontId="1" fillId="3" borderId="27" xfId="0" applyFont="1" applyFill="1" applyBorder="1" applyAlignment="1">
      <alignment/>
    </xf>
    <xf numFmtId="0" fontId="0" fillId="3" borderId="11"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applyBorder="1" applyAlignment="1">
      <alignment/>
    </xf>
    <xf numFmtId="0" fontId="0" fillId="3" borderId="12" xfId="0" applyFont="1" applyFill="1" applyBorder="1" applyAlignment="1">
      <alignment horizontal="center"/>
    </xf>
    <xf numFmtId="0" fontId="11" fillId="3" borderId="11" xfId="0" applyFont="1" applyFill="1" applyBorder="1" applyAlignment="1">
      <alignment/>
    </xf>
    <xf numFmtId="0" fontId="11" fillId="3" borderId="0" xfId="0" applyFont="1" applyFill="1" applyBorder="1" applyAlignment="1">
      <alignment/>
    </xf>
    <xf numFmtId="171" fontId="0" fillId="3" borderId="0" xfId="0" applyNumberFormat="1" applyFont="1" applyFill="1" applyBorder="1" applyAlignment="1">
      <alignment/>
    </xf>
    <xf numFmtId="0" fontId="0" fillId="3" borderId="12" xfId="0" applyFont="1" applyFill="1" applyBorder="1" applyAlignment="1">
      <alignment/>
    </xf>
    <xf numFmtId="0" fontId="3" fillId="3" borderId="11" xfId="0" applyFont="1" applyFill="1" applyBorder="1" applyAlignment="1">
      <alignment horizontal="left"/>
    </xf>
    <xf numFmtId="0" fontId="3" fillId="3" borderId="0" xfId="0" applyFont="1" applyFill="1" applyBorder="1" applyAlignment="1">
      <alignment horizontal="left"/>
    </xf>
    <xf numFmtId="0" fontId="2" fillId="3" borderId="0" xfId="0" applyFont="1" applyFill="1" applyBorder="1" applyAlignment="1">
      <alignment/>
    </xf>
    <xf numFmtId="0" fontId="0" fillId="3" borderId="11" xfId="0" applyFont="1" applyFill="1" applyBorder="1" applyAlignment="1">
      <alignment/>
    </xf>
    <xf numFmtId="41" fontId="0" fillId="3" borderId="12" xfId="20" applyFont="1" applyFill="1" applyBorder="1" applyAlignment="1">
      <alignment/>
    </xf>
    <xf numFmtId="41" fontId="0" fillId="3" borderId="28" xfId="20" applyFont="1" applyFill="1" applyBorder="1" applyAlignment="1">
      <alignment/>
    </xf>
    <xf numFmtId="0" fontId="3" fillId="3" borderId="0" xfId="0" applyFont="1" applyFill="1" applyBorder="1" applyAlignment="1">
      <alignment horizontal="right"/>
    </xf>
    <xf numFmtId="41" fontId="2" fillId="3" borderId="0" xfId="20" applyFont="1" applyFill="1" applyBorder="1" applyAlignment="1">
      <alignment/>
    </xf>
    <xf numFmtId="0" fontId="0" fillId="3" borderId="11" xfId="0" applyFont="1" applyFill="1" applyBorder="1" applyAlignment="1">
      <alignment horizontal="right"/>
    </xf>
    <xf numFmtId="0" fontId="0" fillId="3" borderId="0" xfId="0" applyFont="1" applyFill="1" applyBorder="1" applyAlignment="1">
      <alignment horizontal="right"/>
    </xf>
    <xf numFmtId="41" fontId="9" fillId="3" borderId="0" xfId="20" applyFont="1" applyFill="1" applyBorder="1" applyAlignment="1">
      <alignment/>
    </xf>
    <xf numFmtId="2" fontId="7" fillId="3" borderId="11" xfId="0" applyNumberFormat="1" applyFont="1" applyFill="1" applyBorder="1" applyAlignment="1">
      <alignment horizontal="left"/>
    </xf>
    <xf numFmtId="2" fontId="6" fillId="3" borderId="11" xfId="0" applyNumberFormat="1" applyFont="1" applyFill="1" applyBorder="1" applyAlignment="1">
      <alignment/>
    </xf>
    <xf numFmtId="2" fontId="10" fillId="3" borderId="11" xfId="0" applyNumberFormat="1" applyFont="1" applyFill="1" applyBorder="1" applyAlignment="1">
      <alignment horizontal="left"/>
    </xf>
    <xf numFmtId="2" fontId="7" fillId="3" borderId="11" xfId="0" applyNumberFormat="1" applyFont="1" applyFill="1" applyBorder="1" applyAlignment="1">
      <alignment horizontal="right"/>
    </xf>
    <xf numFmtId="41" fontId="6" fillId="3" borderId="12" xfId="20" applyFont="1" applyFill="1" applyBorder="1" applyAlignment="1">
      <alignment/>
    </xf>
    <xf numFmtId="2" fontId="7" fillId="3" borderId="11" xfId="0" applyNumberFormat="1" applyFont="1" applyFill="1" applyBorder="1" applyAlignment="1">
      <alignment horizontal="center"/>
    </xf>
    <xf numFmtId="41" fontId="13" fillId="3" borderId="0" xfId="20" applyFont="1" applyFill="1" applyBorder="1" applyAlignment="1">
      <alignment horizontal="center"/>
    </xf>
    <xf numFmtId="2" fontId="6" fillId="3" borderId="11" xfId="0" applyNumberFormat="1" applyFont="1" applyFill="1" applyBorder="1" applyAlignment="1">
      <alignment horizontal="left"/>
    </xf>
    <xf numFmtId="0" fontId="0" fillId="3" borderId="13" xfId="0" applyFont="1" applyFill="1" applyBorder="1" applyAlignment="1">
      <alignment horizontal="left"/>
    </xf>
    <xf numFmtId="0" fontId="0" fillId="3" borderId="15" xfId="0" applyFont="1" applyFill="1" applyBorder="1" applyAlignment="1">
      <alignment horizontal="left"/>
    </xf>
    <xf numFmtId="9" fontId="0" fillId="3" borderId="15" xfId="19" applyFont="1" applyFill="1" applyBorder="1" applyAlignment="1">
      <alignment horizontal="center"/>
    </xf>
    <xf numFmtId="41" fontId="0" fillId="3" borderId="15" xfId="20" applyFont="1" applyFill="1" applyBorder="1" applyAlignment="1">
      <alignment/>
    </xf>
    <xf numFmtId="41" fontId="6" fillId="3" borderId="14" xfId="20" applyFont="1" applyFill="1" applyBorder="1" applyAlignment="1">
      <alignment/>
    </xf>
    <xf numFmtId="0" fontId="3" fillId="3" borderId="27" xfId="0" applyFont="1" applyFill="1" applyBorder="1" applyAlignment="1">
      <alignment horizontal="center"/>
    </xf>
    <xf numFmtId="41" fontId="0" fillId="3" borderId="27" xfId="20" applyFont="1" applyFill="1" applyBorder="1" applyAlignment="1">
      <alignment/>
    </xf>
    <xf numFmtId="41" fontId="0" fillId="3" borderId="29" xfId="20" applyFont="1" applyFill="1" applyBorder="1" applyAlignment="1">
      <alignment/>
    </xf>
    <xf numFmtId="0" fontId="19" fillId="3" borderId="0" xfId="0" applyFont="1" applyFill="1" applyBorder="1" applyAlignment="1">
      <alignment/>
    </xf>
    <xf numFmtId="41" fontId="0" fillId="3" borderId="0" xfId="0" applyNumberFormat="1" applyFont="1" applyFill="1" applyBorder="1" applyAlignment="1">
      <alignment/>
    </xf>
    <xf numFmtId="41" fontId="0" fillId="3" borderId="12" xfId="20" applyFont="1" applyFill="1" applyBorder="1" applyAlignment="1">
      <alignment horizontal="left"/>
    </xf>
    <xf numFmtId="41" fontId="3" fillId="3" borderId="0" xfId="0" applyNumberFormat="1" applyFont="1" applyFill="1" applyBorder="1" applyAlignment="1">
      <alignment/>
    </xf>
    <xf numFmtId="41" fontId="3" fillId="3" borderId="12" xfId="0" applyNumberFormat="1" applyFont="1" applyFill="1" applyBorder="1" applyAlignment="1">
      <alignment/>
    </xf>
    <xf numFmtId="171" fontId="0" fillId="3" borderId="12" xfId="20" applyNumberFormat="1" applyFont="1" applyFill="1" applyBorder="1" applyAlignment="1">
      <alignment horizontal="left"/>
    </xf>
    <xf numFmtId="41" fontId="0" fillId="3" borderId="12" xfId="0" applyNumberFormat="1" applyFont="1" applyFill="1" applyBorder="1" applyAlignment="1">
      <alignment/>
    </xf>
    <xf numFmtId="171" fontId="0" fillId="3" borderId="12" xfId="20" applyNumberFormat="1" applyFont="1" applyFill="1" applyBorder="1" applyAlignment="1">
      <alignment/>
    </xf>
    <xf numFmtId="41" fontId="0" fillId="3" borderId="12" xfId="0" applyNumberFormat="1" applyFill="1" applyBorder="1" applyAlignment="1">
      <alignment/>
    </xf>
    <xf numFmtId="41" fontId="0" fillId="3" borderId="15" xfId="0" applyNumberFormat="1" applyFill="1" applyBorder="1" applyAlignment="1">
      <alignment/>
    </xf>
    <xf numFmtId="41" fontId="0" fillId="3" borderId="14" xfId="0" applyNumberFormat="1" applyFill="1" applyBorder="1" applyAlignment="1">
      <alignment/>
    </xf>
    <xf numFmtId="0" fontId="3" fillId="3" borderId="11" xfId="0" applyFont="1" applyFill="1" applyBorder="1" applyAlignment="1">
      <alignment/>
    </xf>
    <xf numFmtId="0" fontId="3" fillId="3" borderId="15" xfId="0" applyFont="1" applyFill="1" applyBorder="1" applyAlignment="1">
      <alignment horizontal="center"/>
    </xf>
    <xf numFmtId="165" fontId="3" fillId="3" borderId="15" xfId="20" applyNumberFormat="1" applyFont="1" applyFill="1" applyBorder="1" applyAlignment="1">
      <alignment horizontal="left"/>
    </xf>
    <xf numFmtId="41" fontId="0" fillId="3" borderId="15" xfId="20" applyFont="1" applyFill="1" applyBorder="1" applyAlignment="1">
      <alignment horizontal="center"/>
    </xf>
    <xf numFmtId="41" fontId="0" fillId="3" borderId="14" xfId="20" applyFont="1" applyFill="1" applyBorder="1" applyAlignment="1">
      <alignment horizontal="center"/>
    </xf>
    <xf numFmtId="0" fontId="0" fillId="3" borderId="30" xfId="0" applyFont="1" applyFill="1" applyBorder="1" applyAlignment="1">
      <alignment/>
    </xf>
    <xf numFmtId="0" fontId="0" fillId="3" borderId="31" xfId="0" applyFont="1" applyFill="1" applyBorder="1" applyAlignment="1">
      <alignment/>
    </xf>
    <xf numFmtId="41" fontId="0" fillId="3" borderId="31" xfId="20" applyFont="1" applyFill="1" applyBorder="1" applyAlignment="1">
      <alignment horizontal="left"/>
    </xf>
    <xf numFmtId="41" fontId="0" fillId="3" borderId="31" xfId="20" applyFont="1" applyFill="1" applyBorder="1" applyAlignment="1">
      <alignment/>
    </xf>
    <xf numFmtId="41" fontId="0" fillId="3" borderId="32" xfId="20" applyFont="1" applyFill="1" applyBorder="1" applyAlignment="1">
      <alignment/>
    </xf>
    <xf numFmtId="41" fontId="3" fillId="3" borderId="15" xfId="0" applyNumberFormat="1" applyFont="1" applyFill="1" applyBorder="1" applyAlignment="1">
      <alignment/>
    </xf>
    <xf numFmtId="41" fontId="3" fillId="3" borderId="14" xfId="0" applyNumberFormat="1" applyFont="1" applyFill="1" applyBorder="1" applyAlignment="1">
      <alignment/>
    </xf>
    <xf numFmtId="171" fontId="0" fillId="3" borderId="31" xfId="20" applyNumberFormat="1" applyFont="1" applyFill="1" applyBorder="1" applyAlignment="1">
      <alignment horizontal="left"/>
    </xf>
    <xf numFmtId="171" fontId="0" fillId="3" borderId="31" xfId="20" applyNumberFormat="1" applyFont="1" applyFill="1" applyBorder="1" applyAlignment="1">
      <alignment/>
    </xf>
    <xf numFmtId="171" fontId="0" fillId="3" borderId="32" xfId="20" applyNumberFormat="1" applyFont="1" applyFill="1" applyBorder="1" applyAlignment="1">
      <alignment/>
    </xf>
    <xf numFmtId="41" fontId="0" fillId="3" borderId="0" xfId="20" applyFont="1" applyFill="1" applyBorder="1" applyAlignment="1" applyProtection="1">
      <alignment horizontal="right" vertical="center"/>
      <protection/>
    </xf>
    <xf numFmtId="0" fontId="0" fillId="3" borderId="12" xfId="0" applyFont="1" applyFill="1" applyBorder="1" applyAlignment="1">
      <alignment horizontal="center" vertical="center"/>
    </xf>
    <xf numFmtId="0" fontId="0" fillId="3" borderId="11" xfId="0" applyFont="1" applyFill="1" applyBorder="1" applyAlignment="1">
      <alignment horizontal="left" vertical="center"/>
    </xf>
    <xf numFmtId="0" fontId="0" fillId="3" borderId="33" xfId="0" applyFill="1" applyBorder="1" applyAlignment="1">
      <alignment/>
    </xf>
    <xf numFmtId="0" fontId="0" fillId="3" borderId="34" xfId="0" applyFill="1" applyBorder="1" applyAlignment="1">
      <alignment/>
    </xf>
    <xf numFmtId="41" fontId="0" fillId="3" borderId="35" xfId="20" applyFill="1" applyBorder="1" applyAlignment="1" applyProtection="1">
      <alignment/>
      <protection/>
    </xf>
    <xf numFmtId="0" fontId="0" fillId="3" borderId="29" xfId="0" applyFont="1" applyFill="1" applyBorder="1" applyAlignment="1">
      <alignment/>
    </xf>
    <xf numFmtId="0" fontId="3" fillId="0" borderId="0" xfId="0" applyFont="1" applyFill="1" applyBorder="1" applyAlignment="1">
      <alignment horizontal="center" vertical="center" textRotation="255" wrapText="1"/>
    </xf>
    <xf numFmtId="41" fontId="0" fillId="0" borderId="0" xfId="0" applyNumberFormat="1" applyFill="1" applyBorder="1" applyAlignment="1">
      <alignment/>
    </xf>
    <xf numFmtId="0" fontId="0" fillId="0" borderId="36" xfId="0" applyBorder="1" applyAlignment="1">
      <alignment horizontal="center"/>
    </xf>
    <xf numFmtId="2" fontId="0" fillId="3" borderId="37" xfId="0" applyNumberFormat="1" applyFill="1" applyBorder="1" applyAlignment="1">
      <alignment/>
    </xf>
    <xf numFmtId="43" fontId="0" fillId="3" borderId="37" xfId="0" applyNumberFormat="1" applyFill="1" applyBorder="1" applyAlignment="1">
      <alignment/>
    </xf>
    <xf numFmtId="172" fontId="0" fillId="3" borderId="37" xfId="19" applyNumberFormat="1" applyFill="1" applyBorder="1" applyAlignment="1">
      <alignment/>
    </xf>
    <xf numFmtId="41" fontId="0" fillId="3" borderId="38" xfId="0" applyNumberFormat="1" applyFill="1" applyBorder="1" applyAlignment="1">
      <alignment/>
    </xf>
    <xf numFmtId="43" fontId="0" fillId="3" borderId="39" xfId="0" applyNumberFormat="1" applyFill="1" applyBorder="1" applyAlignment="1">
      <alignment/>
    </xf>
    <xf numFmtId="0" fontId="0" fillId="3" borderId="37" xfId="0" applyFill="1" applyBorder="1" applyAlignment="1">
      <alignment/>
    </xf>
    <xf numFmtId="0" fontId="0" fillId="3" borderId="38" xfId="0" applyFill="1" applyBorder="1" applyAlignment="1">
      <alignment/>
    </xf>
    <xf numFmtId="0" fontId="14" fillId="0" borderId="6" xfId="0" applyFont="1" applyBorder="1" applyAlignment="1">
      <alignment horizontal="center"/>
    </xf>
    <xf numFmtId="0" fontId="0" fillId="3" borderId="39" xfId="0" applyFill="1" applyBorder="1" applyAlignment="1">
      <alignment/>
    </xf>
    <xf numFmtId="0" fontId="0" fillId="0" borderId="40" xfId="0" applyBorder="1" applyAlignment="1">
      <alignment/>
    </xf>
    <xf numFmtId="0" fontId="0" fillId="0" borderId="21" xfId="0" applyBorder="1" applyAlignment="1">
      <alignment horizontal="center"/>
    </xf>
    <xf numFmtId="0" fontId="3" fillId="5" borderId="0" xfId="0" applyFont="1" applyFill="1" applyBorder="1" applyAlignment="1">
      <alignment horizontal="centerContinuous" vertical="center"/>
    </xf>
    <xf numFmtId="0" fontId="0" fillId="0" borderId="41" xfId="0" applyBorder="1" applyAlignment="1">
      <alignment horizontal="center"/>
    </xf>
    <xf numFmtId="0" fontId="3" fillId="5" borderId="11" xfId="0" applyFont="1" applyFill="1" applyBorder="1" applyAlignment="1">
      <alignment horizontal="centerContinuous" vertical="center"/>
    </xf>
    <xf numFmtId="0" fontId="3" fillId="0" borderId="11" xfId="0" applyFont="1" applyFill="1" applyBorder="1" applyAlignment="1">
      <alignment horizontal="center" vertical="center"/>
    </xf>
    <xf numFmtId="167" fontId="0" fillId="0" borderId="0" xfId="0" applyNumberFormat="1" applyAlignment="1">
      <alignment/>
    </xf>
    <xf numFmtId="167" fontId="0" fillId="0" borderId="0" xfId="20" applyNumberFormat="1" applyBorder="1" applyAlignment="1">
      <alignment/>
    </xf>
    <xf numFmtId="167" fontId="0" fillId="0" borderId="0" xfId="0" applyNumberFormat="1" applyBorder="1" applyAlignment="1">
      <alignment/>
    </xf>
    <xf numFmtId="0" fontId="14" fillId="0" borderId="2" xfId="0" applyFont="1" applyBorder="1" applyAlignment="1">
      <alignment horizontal="center"/>
    </xf>
    <xf numFmtId="172" fontId="0" fillId="3" borderId="42" xfId="0" applyNumberFormat="1" applyFill="1" applyBorder="1" applyAlignment="1">
      <alignment/>
    </xf>
    <xf numFmtId="165" fontId="0" fillId="0" borderId="0" xfId="17"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26" xfId="0" applyFont="1" applyBorder="1" applyAlignment="1" applyProtection="1">
      <alignment/>
      <protection/>
    </xf>
    <xf numFmtId="0" fontId="3" fillId="0" borderId="27" xfId="0" applyFont="1" applyBorder="1" applyAlignment="1" applyProtection="1">
      <alignment horizontal="right"/>
      <protection/>
    </xf>
    <xf numFmtId="0" fontId="0" fillId="0" borderId="29"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11" xfId="0" applyFont="1" applyBorder="1" applyAlignment="1" applyProtection="1">
      <alignment/>
      <protection/>
    </xf>
    <xf numFmtId="0" fontId="3" fillId="0" borderId="0" xfId="0" applyFont="1" applyBorder="1" applyAlignment="1" applyProtection="1">
      <alignment horizontal="right"/>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0" fillId="0" borderId="0" xfId="0" applyFont="1" applyBorder="1" applyAlignment="1" applyProtection="1">
      <alignment horizontal="right"/>
      <protection/>
    </xf>
    <xf numFmtId="172" fontId="0" fillId="0" borderId="12" xfId="19" applyNumberFormat="1" applyFont="1" applyFill="1" applyBorder="1" applyAlignment="1" applyProtection="1">
      <alignment/>
      <protection/>
    </xf>
    <xf numFmtId="172" fontId="0" fillId="0" borderId="0" xfId="19" applyNumberFormat="1" applyFont="1" applyFill="1" applyBorder="1" applyAlignment="1" applyProtection="1">
      <alignment/>
      <protection/>
    </xf>
    <xf numFmtId="0" fontId="3" fillId="0" borderId="0" xfId="0" applyFont="1" applyBorder="1" applyAlignment="1" applyProtection="1">
      <alignment horizontal="center"/>
      <protection/>
    </xf>
    <xf numFmtId="2" fontId="6" fillId="0" borderId="0" xfId="0" applyNumberFormat="1" applyFont="1" applyBorder="1" applyAlignment="1" applyProtection="1">
      <alignment/>
      <protection/>
    </xf>
    <xf numFmtId="41" fontId="0" fillId="0" borderId="0" xfId="20" applyFont="1" applyBorder="1" applyAlignment="1" applyProtection="1">
      <alignment/>
      <protection/>
    </xf>
    <xf numFmtId="0" fontId="0" fillId="0" borderId="13" xfId="0" applyFont="1" applyBorder="1" applyAlignment="1" applyProtection="1">
      <alignment/>
      <protection/>
    </xf>
    <xf numFmtId="0" fontId="0" fillId="0" borderId="15" xfId="0" applyFont="1" applyBorder="1" applyAlignment="1" applyProtection="1">
      <alignment horizontal="right"/>
      <protection/>
    </xf>
    <xf numFmtId="172" fontId="0" fillId="0" borderId="14" xfId="19" applyNumberFormat="1" applyFont="1" applyFill="1" applyBorder="1" applyAlignment="1" applyProtection="1">
      <alignment/>
      <protection/>
    </xf>
    <xf numFmtId="41" fontId="0" fillId="0" borderId="9" xfId="20" applyFont="1" applyBorder="1" applyAlignment="1" applyProtection="1">
      <alignment/>
      <protection/>
    </xf>
    <xf numFmtId="0" fontId="0" fillId="0" borderId="26" xfId="0" applyFont="1" applyBorder="1" applyAlignment="1" applyProtection="1">
      <alignment/>
      <protection/>
    </xf>
    <xf numFmtId="164" fontId="3" fillId="0" borderId="27" xfId="0" applyNumberFormat="1" applyFont="1" applyBorder="1" applyAlignment="1" applyProtection="1">
      <alignment horizontal="right"/>
      <protection/>
    </xf>
    <xf numFmtId="0" fontId="0" fillId="0" borderId="0" xfId="0" applyFont="1" applyBorder="1" applyAlignment="1" applyProtection="1">
      <alignment wrapText="1"/>
      <protection/>
    </xf>
    <xf numFmtId="164" fontId="0" fillId="0" borderId="12" xfId="0" applyNumberFormat="1" applyFont="1" applyBorder="1" applyAlignment="1" applyProtection="1">
      <alignment wrapText="1"/>
      <protection/>
    </xf>
    <xf numFmtId="164" fontId="0" fillId="0" borderId="0" xfId="0" applyNumberFormat="1" applyFont="1" applyBorder="1" applyAlignment="1" applyProtection="1">
      <alignment wrapText="1"/>
      <protection/>
    </xf>
    <xf numFmtId="41" fontId="0" fillId="0" borderId="0" xfId="20" applyFont="1" applyBorder="1" applyAlignment="1" applyProtection="1">
      <alignment horizontal="center"/>
      <protection/>
    </xf>
    <xf numFmtId="41" fontId="0" fillId="0" borderId="12" xfId="20" applyFont="1" applyBorder="1" applyAlignment="1" applyProtection="1">
      <alignment/>
      <protection/>
    </xf>
    <xf numFmtId="164" fontId="0" fillId="0" borderId="0" xfId="0" applyNumberFormat="1" applyFont="1" applyFill="1" applyBorder="1" applyAlignment="1" applyProtection="1">
      <alignment/>
      <protection/>
    </xf>
    <xf numFmtId="164" fontId="0" fillId="0" borderId="0" xfId="0" applyNumberFormat="1" applyFont="1" applyBorder="1" applyAlignment="1" applyProtection="1">
      <alignment horizontal="right"/>
      <protection/>
    </xf>
    <xf numFmtId="9" fontId="0" fillId="0" borderId="12" xfId="19" applyFont="1" applyFill="1" applyBorder="1" applyAlignment="1" applyProtection="1">
      <alignment/>
      <protection/>
    </xf>
    <xf numFmtId="9" fontId="0" fillId="0" borderId="0" xfId="19" applyFont="1" applyFill="1" applyBorder="1" applyAlignment="1" applyProtection="1">
      <alignment/>
      <protection/>
    </xf>
    <xf numFmtId="41" fontId="6" fillId="0" borderId="0" xfId="20" applyFont="1" applyBorder="1" applyAlignment="1" applyProtection="1">
      <alignment/>
      <protection/>
    </xf>
    <xf numFmtId="9" fontId="0" fillId="0" borderId="12" xfId="0" applyNumberFormat="1" applyFont="1" applyFill="1" applyBorder="1" applyAlignment="1" applyProtection="1">
      <alignment/>
      <protection/>
    </xf>
    <xf numFmtId="9" fontId="0" fillId="0" borderId="0" xfId="0" applyNumberFormat="1" applyFont="1" applyFill="1" applyBorder="1" applyAlignment="1" applyProtection="1">
      <alignment/>
      <protection/>
    </xf>
    <xf numFmtId="164" fontId="0" fillId="0" borderId="0" xfId="0" applyNumberFormat="1" applyFont="1" applyBorder="1" applyAlignment="1" applyProtection="1">
      <alignment/>
      <protection/>
    </xf>
    <xf numFmtId="2" fontId="7" fillId="0" borderId="0" xfId="0" applyNumberFormat="1" applyFont="1" applyBorder="1" applyAlignment="1" applyProtection="1">
      <alignment horizontal="right"/>
      <protection/>
    </xf>
    <xf numFmtId="41" fontId="0" fillId="0" borderId="0" xfId="20" applyFont="1" applyAlignment="1" applyProtection="1">
      <alignment/>
      <protection/>
    </xf>
    <xf numFmtId="0" fontId="3" fillId="0" borderId="0" xfId="0" applyFont="1" applyAlignment="1" applyProtection="1">
      <alignment horizontal="left"/>
      <protection/>
    </xf>
    <xf numFmtId="41" fontId="0" fillId="0" borderId="9" xfId="20" applyFont="1" applyBorder="1" applyAlignment="1" applyProtection="1">
      <alignment/>
      <protection/>
    </xf>
    <xf numFmtId="0" fontId="3" fillId="0" borderId="0" xfId="0" applyFont="1" applyAlignment="1" applyProtection="1">
      <alignment horizontal="right"/>
      <protection/>
    </xf>
    <xf numFmtId="41" fontId="0" fillId="0" borderId="0" xfId="20" applyFont="1" applyBorder="1" applyAlignment="1" applyProtection="1">
      <alignment/>
      <protection/>
    </xf>
    <xf numFmtId="0" fontId="0" fillId="0" borderId="0" xfId="0" applyFont="1" applyAlignment="1" applyProtection="1">
      <alignment/>
      <protection/>
    </xf>
    <xf numFmtId="164" fontId="0" fillId="0" borderId="26" xfId="0" applyNumberFormat="1" applyFont="1" applyBorder="1" applyAlignment="1" applyProtection="1">
      <alignment/>
      <protection/>
    </xf>
    <xf numFmtId="0" fontId="3" fillId="0" borderId="27" xfId="0" applyFont="1" applyBorder="1" applyAlignment="1" applyProtection="1">
      <alignment horizontal="center"/>
      <protection/>
    </xf>
    <xf numFmtId="0" fontId="0" fillId="0" borderId="27" xfId="0" applyFont="1" applyBorder="1" applyAlignment="1" applyProtection="1">
      <alignment/>
      <protection/>
    </xf>
    <xf numFmtId="164" fontId="0" fillId="0" borderId="29" xfId="0" applyNumberFormat="1" applyFont="1" applyBorder="1" applyAlignment="1" applyProtection="1">
      <alignment/>
      <protection/>
    </xf>
    <xf numFmtId="164" fontId="0" fillId="0" borderId="11" xfId="0" applyNumberFormat="1" applyFont="1" applyBorder="1" applyAlignment="1" applyProtection="1">
      <alignment/>
      <protection/>
    </xf>
    <xf numFmtId="180" fontId="0" fillId="0" borderId="0" xfId="0" applyNumberFormat="1" applyFont="1" applyBorder="1" applyAlignment="1" applyProtection="1">
      <alignment/>
      <protection/>
    </xf>
    <xf numFmtId="164" fontId="0" fillId="0" borderId="12" xfId="0" applyNumberFormat="1" applyFont="1" applyBorder="1" applyAlignment="1" applyProtection="1">
      <alignment/>
      <protection/>
    </xf>
    <xf numFmtId="165" fontId="6" fillId="0" borderId="0" xfId="17" applyNumberFormat="1" applyFont="1" applyBorder="1" applyAlignment="1" applyProtection="1">
      <alignment/>
      <protection/>
    </xf>
    <xf numFmtId="165" fontId="0" fillId="0" borderId="0" xfId="0" applyNumberFormat="1" applyFont="1" applyBorder="1" applyAlignment="1" applyProtection="1">
      <alignment/>
      <protection/>
    </xf>
    <xf numFmtId="164" fontId="3" fillId="0" borderId="11" xfId="0" applyNumberFormat="1" applyFont="1" applyFill="1" applyBorder="1" applyAlignment="1" applyProtection="1">
      <alignment horizontal="center"/>
      <protection/>
    </xf>
    <xf numFmtId="0" fontId="0" fillId="0" borderId="0" xfId="0" applyFont="1" applyBorder="1" applyAlignment="1" applyProtection="1">
      <alignment horizontal="center" wrapText="1"/>
      <protection/>
    </xf>
    <xf numFmtId="164" fontId="0" fillId="0" borderId="0" xfId="0" applyNumberFormat="1" applyFont="1" applyBorder="1" applyAlignment="1" applyProtection="1">
      <alignment horizontal="center" wrapText="1"/>
      <protection/>
    </xf>
    <xf numFmtId="164" fontId="0" fillId="0" borderId="12" xfId="0" applyNumberFormat="1" applyFont="1" applyBorder="1" applyAlignment="1" applyProtection="1">
      <alignment horizontal="center" wrapText="1"/>
      <protection/>
    </xf>
    <xf numFmtId="1" fontId="0" fillId="0" borderId="11" xfId="0" applyNumberFormat="1" applyFont="1" applyBorder="1" applyAlignment="1" applyProtection="1">
      <alignment horizontal="right"/>
      <protection/>
    </xf>
    <xf numFmtId="165" fontId="0" fillId="0" borderId="0" xfId="17" applyNumberFormat="1" applyFont="1" applyBorder="1" applyAlignment="1" applyProtection="1">
      <alignment/>
      <protection/>
    </xf>
    <xf numFmtId="165" fontId="6" fillId="0" borderId="0" xfId="17" applyNumberFormat="1" applyFont="1" applyBorder="1" applyAlignment="1" applyProtection="1">
      <alignment horizontal="center"/>
      <protection/>
    </xf>
    <xf numFmtId="178" fontId="6" fillId="0" borderId="0" xfId="0" applyNumberFormat="1" applyFont="1" applyBorder="1" applyAlignment="1" applyProtection="1">
      <alignment/>
      <protection/>
    </xf>
    <xf numFmtId="178" fontId="6" fillId="0" borderId="12" xfId="0" applyNumberFormat="1" applyFont="1" applyBorder="1" applyAlignment="1" applyProtection="1">
      <alignment/>
      <protection/>
    </xf>
    <xf numFmtId="0" fontId="0" fillId="0" borderId="11" xfId="0" applyFont="1" applyBorder="1" applyAlignment="1" applyProtection="1">
      <alignment/>
      <protection/>
    </xf>
    <xf numFmtId="0" fontId="0" fillId="0" borderId="0" xfId="0" applyFont="1" applyBorder="1" applyAlignment="1" applyProtection="1">
      <alignment/>
      <protection/>
    </xf>
    <xf numFmtId="164" fontId="0" fillId="0" borderId="0" xfId="0" applyNumberFormat="1" applyFont="1" applyAlignment="1" applyProtection="1">
      <alignment/>
      <protection/>
    </xf>
    <xf numFmtId="178" fontId="6" fillId="0" borderId="28" xfId="0" applyNumberFormat="1" applyFont="1" applyBorder="1" applyAlignment="1" applyProtection="1">
      <alignment/>
      <protection/>
    </xf>
    <xf numFmtId="1" fontId="0" fillId="0" borderId="13" xfId="0" applyNumberFormat="1" applyFont="1" applyBorder="1" applyAlignment="1" applyProtection="1">
      <alignment horizontal="right"/>
      <protection/>
    </xf>
    <xf numFmtId="165" fontId="0" fillId="0" borderId="15" xfId="17" applyNumberFormat="1" applyFont="1" applyBorder="1" applyAlignment="1" applyProtection="1">
      <alignment/>
      <protection/>
    </xf>
    <xf numFmtId="178" fontId="6" fillId="0" borderId="15" xfId="0" applyNumberFormat="1" applyFont="1" applyBorder="1" applyAlignment="1" applyProtection="1">
      <alignment/>
      <protection/>
    </xf>
    <xf numFmtId="178" fontId="6" fillId="0" borderId="43" xfId="0" applyNumberFormat="1" applyFont="1" applyBorder="1" applyAlignment="1" applyProtection="1">
      <alignment/>
      <protection/>
    </xf>
    <xf numFmtId="164" fontId="8" fillId="0" borderId="0" xfId="0" applyNumberFormat="1" applyFont="1" applyAlignment="1" applyProtection="1">
      <alignment/>
      <protection/>
    </xf>
    <xf numFmtId="0" fontId="3"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164" fontId="0" fillId="0" borderId="26" xfId="0" applyNumberFormat="1"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164" fontId="3" fillId="0" borderId="29" xfId="0" applyNumberFormat="1" applyFont="1" applyBorder="1" applyAlignment="1" applyProtection="1">
      <alignment horizontal="center" vertical="center" wrapText="1"/>
      <protection/>
    </xf>
    <xf numFmtId="164" fontId="0" fillId="0" borderId="11" xfId="0" applyNumberFormat="1"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41" fontId="0" fillId="0" borderId="0" xfId="20" applyFont="1" applyBorder="1" applyAlignment="1" applyProtection="1">
      <alignment horizontal="right" vertical="center" wrapText="1"/>
      <protection/>
    </xf>
    <xf numFmtId="164" fontId="3" fillId="0" borderId="12" xfId="0" applyNumberFormat="1" applyFont="1" applyBorder="1" applyAlignment="1" applyProtection="1">
      <alignment horizontal="center" vertical="center" wrapText="1"/>
      <protection/>
    </xf>
    <xf numFmtId="2" fontId="6" fillId="0" borderId="11" xfId="0" applyNumberFormat="1" applyFont="1" applyBorder="1" applyAlignment="1" applyProtection="1">
      <alignment/>
      <protection/>
    </xf>
    <xf numFmtId="172" fontId="6" fillId="0" borderId="0" xfId="0" applyNumberFormat="1" applyFont="1" applyFill="1" applyBorder="1" applyAlignment="1" applyProtection="1">
      <alignment horizontal="right"/>
      <protection/>
    </xf>
    <xf numFmtId="41" fontId="6" fillId="0" borderId="9" xfId="20" applyFont="1" applyBorder="1" applyAlignment="1" applyProtection="1">
      <alignment/>
      <protection/>
    </xf>
    <xf numFmtId="172" fontId="0" fillId="0" borderId="12" xfId="19" applyNumberFormat="1" applyFont="1" applyBorder="1" applyAlignment="1" applyProtection="1">
      <alignment horizontal="center"/>
      <protection/>
    </xf>
    <xf numFmtId="2" fontId="7" fillId="0" borderId="11" xfId="0" applyNumberFormat="1" applyFont="1" applyBorder="1" applyAlignment="1" applyProtection="1">
      <alignment horizontal="center"/>
      <protection/>
    </xf>
    <xf numFmtId="172" fontId="6" fillId="0" borderId="0" xfId="0" applyNumberFormat="1" applyFont="1" applyBorder="1" applyAlignment="1" applyProtection="1">
      <alignment horizontal="right"/>
      <protection/>
    </xf>
    <xf numFmtId="41" fontId="6" fillId="0" borderId="0" xfId="20" applyFont="1" applyFill="1" applyBorder="1" applyAlignment="1" applyProtection="1">
      <alignment/>
      <protection/>
    </xf>
    <xf numFmtId="172" fontId="7" fillId="0" borderId="0" xfId="0" applyNumberFormat="1" applyFont="1" applyBorder="1" applyAlignment="1" applyProtection="1">
      <alignment horizontal="right"/>
      <protection/>
    </xf>
    <xf numFmtId="41" fontId="7" fillId="0" borderId="0" xfId="20" applyFont="1" applyBorder="1" applyAlignment="1" applyProtection="1">
      <alignment/>
      <protection/>
    </xf>
    <xf numFmtId="41" fontId="7" fillId="0" borderId="44" xfId="20" applyFont="1" applyBorder="1" applyAlignment="1" applyProtection="1">
      <alignment/>
      <protection/>
    </xf>
    <xf numFmtId="2" fontId="6" fillId="0" borderId="11" xfId="0" applyNumberFormat="1" applyFont="1" applyBorder="1" applyAlignment="1" applyProtection="1">
      <alignment horizontal="right"/>
      <protection/>
    </xf>
    <xf numFmtId="0" fontId="0" fillId="0" borderId="12" xfId="0" applyFont="1" applyBorder="1" applyAlignment="1" applyProtection="1">
      <alignment/>
      <protection/>
    </xf>
    <xf numFmtId="41" fontId="7" fillId="0" borderId="0" xfId="20" applyFont="1" applyBorder="1" applyAlignment="1" applyProtection="1">
      <alignment horizontal="right"/>
      <protection/>
    </xf>
    <xf numFmtId="0" fontId="0" fillId="0" borderId="12" xfId="0" applyFont="1" applyBorder="1" applyAlignment="1" applyProtection="1">
      <alignment textRotation="255"/>
      <protection/>
    </xf>
    <xf numFmtId="41" fontId="0" fillId="3" borderId="0" xfId="20" applyFont="1" applyFill="1" applyBorder="1" applyAlignment="1" applyProtection="1">
      <alignment/>
      <protection/>
    </xf>
    <xf numFmtId="41" fontId="0" fillId="3" borderId="15" xfId="20" applyFont="1" applyFill="1" applyBorder="1" applyAlignment="1" applyProtection="1">
      <alignment/>
      <protection/>
    </xf>
    <xf numFmtId="0" fontId="0" fillId="3" borderId="0" xfId="20" applyNumberFormat="1" applyFont="1" applyFill="1" applyBorder="1" applyAlignment="1">
      <alignment horizontal="center"/>
    </xf>
    <xf numFmtId="0" fontId="3" fillId="3" borderId="0" xfId="20" applyNumberFormat="1" applyFont="1" applyFill="1" applyBorder="1" applyAlignment="1">
      <alignment/>
    </xf>
    <xf numFmtId="0" fontId="0" fillId="3" borderId="0" xfId="20" applyNumberFormat="1" applyFont="1" applyFill="1" applyBorder="1" applyAlignment="1">
      <alignment/>
    </xf>
    <xf numFmtId="0" fontId="6" fillId="3" borderId="0" xfId="20" applyNumberFormat="1" applyFont="1" applyFill="1" applyBorder="1" applyAlignment="1">
      <alignment/>
    </xf>
    <xf numFmtId="41" fontId="0" fillId="0" borderId="0" xfId="20" applyFont="1" applyAlignment="1">
      <alignment/>
    </xf>
    <xf numFmtId="41" fontId="0" fillId="0" borderId="0" xfId="20" applyFont="1" applyAlignment="1">
      <alignment horizontal="right"/>
    </xf>
    <xf numFmtId="0" fontId="0" fillId="0" borderId="15" xfId="0" applyFont="1" applyBorder="1" applyAlignment="1" applyProtection="1">
      <alignment/>
      <protection/>
    </xf>
    <xf numFmtId="0" fontId="0" fillId="0" borderId="14" xfId="0" applyFont="1" applyBorder="1" applyAlignment="1" applyProtection="1">
      <alignment/>
      <protection/>
    </xf>
    <xf numFmtId="41" fontId="0" fillId="6" borderId="45" xfId="20" applyFill="1" applyBorder="1" applyAlignment="1" applyProtection="1">
      <alignment horizontal="center"/>
      <protection locked="0"/>
    </xf>
    <xf numFmtId="41" fontId="0" fillId="6" borderId="46" xfId="20" applyFill="1" applyBorder="1" applyAlignment="1" applyProtection="1">
      <alignment horizontal="center"/>
      <protection locked="0"/>
    </xf>
    <xf numFmtId="41" fontId="1" fillId="4" borderId="46" xfId="20" applyFont="1" applyFill="1" applyBorder="1" applyAlignment="1" applyProtection="1">
      <alignment horizontal="center"/>
      <protection locked="0"/>
    </xf>
    <xf numFmtId="41" fontId="0" fillId="6" borderId="46" xfId="20" applyFont="1" applyFill="1" applyBorder="1" applyAlignment="1" applyProtection="1">
      <alignment horizontal="center"/>
      <protection locked="0"/>
    </xf>
    <xf numFmtId="0" fontId="0" fillId="2" borderId="0" xfId="0" applyFill="1" applyBorder="1" applyAlignment="1" applyProtection="1">
      <alignment/>
      <protection/>
    </xf>
    <xf numFmtId="41" fontId="6" fillId="0" borderId="44" xfId="20" applyFont="1" applyBorder="1" applyAlignment="1" applyProtection="1">
      <alignment/>
      <protection/>
    </xf>
    <xf numFmtId="43" fontId="0" fillId="0" borderId="0" xfId="0" applyNumberFormat="1" applyFont="1" applyAlignment="1" applyProtection="1">
      <alignment/>
      <protection locked="0"/>
    </xf>
    <xf numFmtId="41" fontId="21" fillId="3" borderId="47" xfId="20" applyFont="1" applyFill="1" applyBorder="1" applyAlignment="1" applyProtection="1">
      <alignment horizontal="center" wrapText="1"/>
      <protection/>
    </xf>
    <xf numFmtId="1" fontId="0" fillId="3" borderId="8" xfId="0" applyNumberFormat="1" applyFill="1" applyBorder="1" applyAlignment="1" applyProtection="1">
      <alignment/>
      <protection/>
    </xf>
    <xf numFmtId="0" fontId="0" fillId="2" borderId="0" xfId="0" applyNumberFormat="1" applyFont="1" applyFill="1" applyBorder="1" applyAlignment="1" applyProtection="1">
      <alignment horizontal="left"/>
      <protection/>
    </xf>
    <xf numFmtId="41" fontId="0" fillId="2" borderId="0" xfId="20" applyFont="1" applyFill="1" applyBorder="1" applyAlignment="1" applyProtection="1">
      <alignment/>
      <protection/>
    </xf>
    <xf numFmtId="1" fontId="0" fillId="2" borderId="0" xfId="0" applyNumberFormat="1" applyFill="1" applyBorder="1" applyAlignment="1" applyProtection="1">
      <alignment/>
      <protection/>
    </xf>
    <xf numFmtId="0" fontId="0" fillId="4" borderId="24" xfId="0" applyFill="1" applyBorder="1" applyAlignment="1" applyProtection="1">
      <alignment horizontal="left"/>
      <protection/>
    </xf>
    <xf numFmtId="0" fontId="1" fillId="4" borderId="24" xfId="0" applyFont="1" applyFill="1" applyBorder="1" applyAlignment="1" applyProtection="1">
      <alignment horizontal="left" vertical="center"/>
      <protection/>
    </xf>
    <xf numFmtId="0" fontId="1" fillId="4" borderId="24" xfId="0" applyFont="1" applyFill="1" applyBorder="1" applyAlignment="1" applyProtection="1">
      <alignment horizontal="left"/>
      <protection/>
    </xf>
    <xf numFmtId="0" fontId="0" fillId="4" borderId="25" xfId="0" applyFill="1" applyBorder="1" applyAlignment="1" applyProtection="1">
      <alignment/>
      <protection/>
    </xf>
    <xf numFmtId="0" fontId="0" fillId="4" borderId="24" xfId="0" applyFill="1" applyBorder="1" applyAlignment="1" applyProtection="1">
      <alignment/>
      <protection/>
    </xf>
    <xf numFmtId="0" fontId="1" fillId="4" borderId="24" xfId="0" applyFont="1" applyFill="1" applyBorder="1" applyAlignment="1" applyProtection="1">
      <alignment/>
      <protection/>
    </xf>
    <xf numFmtId="41" fontId="1" fillId="4" borderId="46" xfId="20" applyFont="1" applyFill="1" applyBorder="1" applyAlignment="1" applyProtection="1">
      <alignment horizontal="center"/>
      <protection/>
    </xf>
    <xf numFmtId="0" fontId="0" fillId="4" borderId="24" xfId="0" applyFont="1" applyFill="1" applyBorder="1" applyAlignment="1" applyProtection="1">
      <alignment/>
      <protection/>
    </xf>
    <xf numFmtId="0" fontId="0" fillId="4" borderId="24" xfId="0" applyFont="1" applyFill="1" applyBorder="1" applyAlignment="1" applyProtection="1">
      <alignment horizontal="left"/>
      <protection/>
    </xf>
    <xf numFmtId="41" fontId="3" fillId="4" borderId="46" xfId="20" applyFont="1" applyFill="1" applyBorder="1" applyAlignment="1" applyProtection="1">
      <alignment horizontal="center"/>
      <protection/>
    </xf>
    <xf numFmtId="0" fontId="0" fillId="4" borderId="48" xfId="0" applyFill="1" applyBorder="1" applyAlignment="1" applyProtection="1">
      <alignment/>
      <protection/>
    </xf>
    <xf numFmtId="0" fontId="0" fillId="2" borderId="0" xfId="0" applyFill="1" applyAlignment="1" applyProtection="1">
      <alignment/>
      <protection/>
    </xf>
    <xf numFmtId="0" fontId="1" fillId="4" borderId="24" xfId="0" applyFont="1" applyFill="1" applyBorder="1" applyAlignment="1" applyProtection="1">
      <alignment/>
      <protection/>
    </xf>
    <xf numFmtId="0" fontId="0" fillId="4" borderId="46" xfId="0" applyFill="1" applyBorder="1" applyAlignment="1" applyProtection="1">
      <alignment/>
      <protection/>
    </xf>
    <xf numFmtId="0" fontId="1" fillId="4" borderId="25" xfId="0" applyFont="1" applyFill="1" applyBorder="1" applyAlignment="1" applyProtection="1">
      <alignment horizontal="center" vertical="center" wrapText="1"/>
      <protection locked="0"/>
    </xf>
    <xf numFmtId="0" fontId="3" fillId="7" borderId="0" xfId="0" applyFont="1" applyFill="1" applyAlignment="1">
      <alignment/>
    </xf>
    <xf numFmtId="0" fontId="0" fillId="7" borderId="0" xfId="0" applyFill="1" applyAlignment="1">
      <alignment/>
    </xf>
    <xf numFmtId="0" fontId="14" fillId="2" borderId="0" xfId="0" applyFont="1" applyFill="1" applyBorder="1" applyAlignment="1">
      <alignment/>
    </xf>
    <xf numFmtId="0" fontId="0" fillId="4" borderId="0" xfId="0" applyFont="1" applyFill="1" applyBorder="1" applyAlignment="1" applyProtection="1">
      <alignment/>
      <protection/>
    </xf>
    <xf numFmtId="41" fontId="0" fillId="6" borderId="25" xfId="20" applyFont="1" applyFill="1" applyBorder="1" applyAlignment="1" applyProtection="1">
      <alignment horizontal="center"/>
      <protection locked="0"/>
    </xf>
    <xf numFmtId="0" fontId="0" fillId="2" borderId="0" xfId="0" applyFill="1" applyBorder="1" applyAlignment="1" applyProtection="1">
      <alignment/>
      <protection locked="0"/>
    </xf>
    <xf numFmtId="9" fontId="0" fillId="8" borderId="49" xfId="19" applyFill="1" applyBorder="1" applyAlignment="1" applyProtection="1">
      <alignment/>
      <protection locked="0"/>
    </xf>
    <xf numFmtId="10" fontId="0" fillId="8" borderId="50" xfId="19" applyNumberFormat="1" applyFont="1" applyFill="1" applyBorder="1" applyAlignment="1" applyProtection="1">
      <alignment/>
      <protection locked="0"/>
    </xf>
    <xf numFmtId="0" fontId="0" fillId="8" borderId="50" xfId="0" applyFill="1" applyBorder="1" applyAlignment="1" applyProtection="1">
      <alignment/>
      <protection locked="0"/>
    </xf>
    <xf numFmtId="172" fontId="0" fillId="8" borderId="50" xfId="19" applyNumberFormat="1" applyFill="1" applyBorder="1" applyAlignment="1" applyProtection="1">
      <alignment horizontal="right"/>
      <protection locked="0"/>
    </xf>
    <xf numFmtId="10" fontId="0" fillId="6" borderId="50" xfId="19" applyNumberFormat="1" applyFont="1" applyFill="1" applyBorder="1" applyAlignment="1" applyProtection="1">
      <alignment/>
      <protection locked="0"/>
    </xf>
    <xf numFmtId="0" fontId="0" fillId="3" borderId="50" xfId="0" applyFill="1" applyBorder="1" applyAlignment="1" applyProtection="1">
      <alignment/>
      <protection/>
    </xf>
    <xf numFmtId="41" fontId="0" fillId="6" borderId="50" xfId="20" applyFill="1" applyBorder="1" applyAlignment="1" applyProtection="1">
      <alignment horizontal="center"/>
      <protection locked="0"/>
    </xf>
    <xf numFmtId="41" fontId="1" fillId="3" borderId="50" xfId="20" applyFont="1" applyFill="1" applyBorder="1" applyAlignment="1" applyProtection="1">
      <alignment horizontal="center"/>
      <protection/>
    </xf>
    <xf numFmtId="41" fontId="0" fillId="6" borderId="50" xfId="20" applyFont="1" applyFill="1" applyBorder="1" applyAlignment="1" applyProtection="1">
      <alignment horizontal="center"/>
      <protection locked="0"/>
    </xf>
    <xf numFmtId="41" fontId="3" fillId="3" borderId="50" xfId="20" applyFont="1" applyFill="1" applyBorder="1" applyAlignment="1" applyProtection="1">
      <alignment horizontal="center"/>
      <protection/>
    </xf>
    <xf numFmtId="41" fontId="0" fillId="6" borderId="51" xfId="20" applyFill="1" applyBorder="1" applyAlignment="1" applyProtection="1">
      <alignment horizontal="center"/>
      <protection locked="0"/>
    </xf>
    <xf numFmtId="0" fontId="1" fillId="3" borderId="49" xfId="0" applyFont="1" applyFill="1" applyBorder="1" applyAlignment="1" applyProtection="1">
      <alignment horizontal="center" vertical="center" wrapText="1"/>
      <protection/>
    </xf>
    <xf numFmtId="0" fontId="0" fillId="4" borderId="52" xfId="0" applyFill="1" applyBorder="1" applyAlignment="1" applyProtection="1">
      <alignment/>
      <protection/>
    </xf>
    <xf numFmtId="0" fontId="0" fillId="6" borderId="51" xfId="0" applyFill="1" applyBorder="1" applyAlignment="1" applyProtection="1">
      <alignment/>
      <protection locked="0"/>
    </xf>
    <xf numFmtId="0" fontId="1" fillId="3" borderId="53" xfId="0" applyFont="1" applyFill="1" applyBorder="1" applyAlignment="1" applyProtection="1">
      <alignment horizontal="left" vertical="center"/>
      <protection/>
    </xf>
    <xf numFmtId="0" fontId="1" fillId="3" borderId="54" xfId="0" applyFont="1" applyFill="1" applyBorder="1" applyAlignment="1" applyProtection="1">
      <alignment horizontal="left"/>
      <protection/>
    </xf>
    <xf numFmtId="0" fontId="0" fillId="3" borderId="54" xfId="0" applyFill="1" applyBorder="1" applyAlignment="1" applyProtection="1">
      <alignment/>
      <protection/>
    </xf>
    <xf numFmtId="0" fontId="1" fillId="3" borderId="54" xfId="0" applyFont="1" applyFill="1" applyBorder="1" applyAlignment="1" applyProtection="1">
      <alignment/>
      <protection/>
    </xf>
    <xf numFmtId="0" fontId="0" fillId="3" borderId="54" xfId="0" applyFont="1" applyFill="1" applyBorder="1" applyAlignment="1" applyProtection="1">
      <alignment/>
      <protection/>
    </xf>
    <xf numFmtId="0" fontId="0" fillId="3" borderId="54" xfId="0" applyFont="1" applyFill="1" applyBorder="1" applyAlignment="1" applyProtection="1">
      <alignment horizontal="left"/>
      <protection/>
    </xf>
    <xf numFmtId="0" fontId="0" fillId="3" borderId="54" xfId="0" applyFill="1" applyBorder="1" applyAlignment="1" applyProtection="1">
      <alignment horizontal="left"/>
      <protection/>
    </xf>
    <xf numFmtId="0" fontId="0" fillId="3" borderId="55" xfId="0" applyFill="1" applyBorder="1" applyAlignment="1" applyProtection="1">
      <alignment/>
      <protection/>
    </xf>
    <xf numFmtId="0" fontId="1" fillId="9" borderId="56" xfId="0" applyNumberFormat="1" applyFont="1" applyFill="1" applyBorder="1" applyAlignment="1" applyProtection="1">
      <alignment horizontal="left"/>
      <protection/>
    </xf>
    <xf numFmtId="0" fontId="0" fillId="9" borderId="56" xfId="0" applyFill="1" applyBorder="1" applyAlignment="1" applyProtection="1">
      <alignment/>
      <protection/>
    </xf>
    <xf numFmtId="0" fontId="0" fillId="9" borderId="57" xfId="0" applyFill="1" applyBorder="1" applyAlignment="1" applyProtection="1">
      <alignment/>
      <protection/>
    </xf>
    <xf numFmtId="172" fontId="0" fillId="6" borderId="58" xfId="19" applyNumberFormat="1" applyFill="1" applyBorder="1" applyAlignment="1" applyProtection="1">
      <alignment horizontal="right"/>
      <protection locked="0"/>
    </xf>
    <xf numFmtId="9" fontId="0" fillId="9" borderId="57" xfId="0" applyNumberFormat="1" applyFill="1" applyBorder="1" applyAlignment="1" applyProtection="1">
      <alignment/>
      <protection/>
    </xf>
    <xf numFmtId="0" fontId="1" fillId="9" borderId="56" xfId="0" applyFont="1" applyFill="1" applyBorder="1" applyAlignment="1" applyProtection="1">
      <alignment/>
      <protection/>
    </xf>
    <xf numFmtId="165" fontId="0" fillId="9" borderId="57" xfId="17" applyFill="1" applyBorder="1" applyAlignment="1" applyProtection="1">
      <alignment/>
      <protection/>
    </xf>
    <xf numFmtId="172" fontId="0" fillId="9" borderId="58" xfId="0" applyNumberFormat="1" applyFill="1" applyBorder="1" applyAlignment="1" applyProtection="1">
      <alignment horizontal="right"/>
      <protection/>
    </xf>
    <xf numFmtId="41" fontId="0" fillId="6" borderId="57" xfId="20" applyFill="1" applyBorder="1" applyAlignment="1" applyProtection="1">
      <alignment/>
      <protection locked="0"/>
    </xf>
    <xf numFmtId="41" fontId="0" fillId="9" borderId="57" xfId="20" applyFill="1" applyBorder="1" applyAlignment="1" applyProtection="1">
      <alignment/>
      <protection/>
    </xf>
    <xf numFmtId="41" fontId="0" fillId="9" borderId="57" xfId="20" applyFont="1" applyFill="1" applyBorder="1" applyAlignment="1" applyProtection="1">
      <alignment/>
      <protection/>
    </xf>
    <xf numFmtId="1" fontId="0" fillId="8" borderId="57" xfId="0" applyNumberFormat="1" applyFill="1" applyBorder="1" applyAlignment="1" applyProtection="1">
      <alignment/>
      <protection locked="0"/>
    </xf>
    <xf numFmtId="172" fontId="0" fillId="8" borderId="58" xfId="19" applyNumberFormat="1" applyFill="1" applyBorder="1" applyAlignment="1" applyProtection="1">
      <alignment horizontal="right"/>
      <protection locked="0"/>
    </xf>
    <xf numFmtId="164" fontId="0" fillId="9" borderId="56" xfId="0" applyNumberFormat="1" applyFont="1" applyFill="1" applyBorder="1" applyAlignment="1" applyProtection="1">
      <alignment horizontal="left"/>
      <protection/>
    </xf>
    <xf numFmtId="164" fontId="0" fillId="6" borderId="57" xfId="0" applyNumberFormat="1" applyFont="1" applyFill="1" applyBorder="1" applyAlignment="1" applyProtection="1">
      <alignment horizontal="center"/>
      <protection locked="0"/>
    </xf>
    <xf numFmtId="164" fontId="0" fillId="6" borderId="57" xfId="0" applyNumberFormat="1" applyFont="1" applyFill="1" applyBorder="1" applyAlignment="1" applyProtection="1">
      <alignment horizontal="center"/>
      <protection/>
    </xf>
    <xf numFmtId="172" fontId="0" fillId="6" borderId="58" xfId="19" applyNumberFormat="1" applyFont="1" applyFill="1" applyBorder="1" applyAlignment="1" applyProtection="1">
      <alignment horizontal="right"/>
      <protection locked="0"/>
    </xf>
    <xf numFmtId="0" fontId="1" fillId="9" borderId="56" xfId="0" applyFont="1" applyFill="1" applyBorder="1" applyAlignment="1" applyProtection="1">
      <alignment horizontal="left" vertical="center"/>
      <protection/>
    </xf>
    <xf numFmtId="0" fontId="0" fillId="9" borderId="57" xfId="0" applyFill="1" applyBorder="1" applyAlignment="1" applyProtection="1">
      <alignment horizontal="centerContinuous" vertical="center"/>
      <protection/>
    </xf>
    <xf numFmtId="0" fontId="0" fillId="8" borderId="57" xfId="0" applyFill="1" applyBorder="1" applyAlignment="1" applyProtection="1">
      <alignment/>
      <protection locked="0"/>
    </xf>
    <xf numFmtId="0" fontId="0" fillId="9" borderId="56" xfId="0" applyFill="1" applyBorder="1" applyAlignment="1" applyProtection="1">
      <alignment vertical="top"/>
      <protection/>
    </xf>
    <xf numFmtId="0" fontId="0" fillId="6" borderId="57" xfId="0" applyFill="1" applyBorder="1" applyAlignment="1" applyProtection="1">
      <alignment horizontal="center"/>
      <protection locked="0"/>
    </xf>
    <xf numFmtId="41" fontId="0" fillId="6" borderId="57" xfId="20" applyFill="1" applyBorder="1" applyAlignment="1" applyProtection="1">
      <alignment horizontal="right"/>
      <protection locked="0"/>
    </xf>
    <xf numFmtId="172" fontId="0" fillId="6" borderId="58" xfId="20" applyNumberFormat="1" applyFill="1" applyBorder="1" applyAlignment="1" applyProtection="1">
      <alignment horizontal="right"/>
      <protection locked="0"/>
    </xf>
    <xf numFmtId="0" fontId="0" fillId="9" borderId="59" xfId="0" applyFill="1" applyBorder="1" applyAlignment="1" applyProtection="1">
      <alignment/>
      <protection/>
    </xf>
    <xf numFmtId="0" fontId="0" fillId="9" borderId="60" xfId="0" applyFill="1" applyBorder="1" applyAlignment="1" applyProtection="1">
      <alignment/>
      <protection/>
    </xf>
    <xf numFmtId="172" fontId="0" fillId="6" borderId="61" xfId="20" applyNumberFormat="1" applyFill="1" applyBorder="1" applyAlignment="1" applyProtection="1">
      <alignment horizontal="right"/>
      <protection locked="0"/>
    </xf>
    <xf numFmtId="0" fontId="1" fillId="9" borderId="62" xfId="0" applyNumberFormat="1" applyFont="1" applyFill="1" applyBorder="1" applyAlignment="1" applyProtection="1">
      <alignment horizontal="left"/>
      <protection/>
    </xf>
    <xf numFmtId="41" fontId="22" fillId="9" borderId="63" xfId="20" applyFont="1" applyFill="1" applyBorder="1" applyAlignment="1" applyProtection="1">
      <alignment horizontal="center"/>
      <protection/>
    </xf>
    <xf numFmtId="0" fontId="22" fillId="9" borderId="64" xfId="0" applyFont="1" applyFill="1" applyBorder="1" applyAlignment="1" applyProtection="1">
      <alignment horizontal="center"/>
      <protection/>
    </xf>
    <xf numFmtId="0" fontId="0" fillId="9" borderId="56" xfId="0" applyFont="1" applyFill="1" applyBorder="1" applyAlignment="1">
      <alignment horizontal="left"/>
    </xf>
    <xf numFmtId="41" fontId="0" fillId="9" borderId="58" xfId="20" applyFill="1" applyBorder="1" applyAlignment="1" applyProtection="1">
      <alignment/>
      <protection/>
    </xf>
    <xf numFmtId="0" fontId="0" fillId="9" borderId="56" xfId="0" applyFill="1" applyBorder="1" applyAlignment="1">
      <alignment horizontal="left"/>
    </xf>
    <xf numFmtId="9" fontId="0" fillId="9" borderId="58" xfId="19" applyNumberFormat="1" applyFill="1" applyBorder="1" applyAlignment="1" applyProtection="1">
      <alignment/>
      <protection/>
    </xf>
    <xf numFmtId="0" fontId="0" fillId="6" borderId="58" xfId="0" applyFill="1" applyBorder="1" applyAlignment="1" applyProtection="1">
      <alignment/>
      <protection locked="0"/>
    </xf>
    <xf numFmtId="188" fontId="0" fillId="9" borderId="58" xfId="20" applyNumberFormat="1" applyFill="1" applyBorder="1" applyAlignment="1" applyProtection="1">
      <alignment/>
      <protection/>
    </xf>
    <xf numFmtId="0" fontId="0" fillId="9" borderId="56" xfId="0" applyFont="1" applyFill="1" applyBorder="1" applyAlignment="1">
      <alignment/>
    </xf>
    <xf numFmtId="41" fontId="0" fillId="9" borderId="58" xfId="20" applyNumberFormat="1" applyFill="1" applyBorder="1" applyAlignment="1" applyProtection="1">
      <alignment/>
      <protection/>
    </xf>
    <xf numFmtId="0" fontId="0" fillId="9" borderId="56" xfId="0" applyFill="1" applyBorder="1" applyAlignment="1">
      <alignment/>
    </xf>
    <xf numFmtId="0" fontId="0" fillId="2" borderId="58" xfId="0" applyFill="1" applyBorder="1" applyAlignment="1" applyProtection="1">
      <alignment/>
      <protection locked="0"/>
    </xf>
    <xf numFmtId="0" fontId="0" fillId="9" borderId="59" xfId="0" applyFill="1" applyBorder="1" applyAlignment="1">
      <alignment/>
    </xf>
    <xf numFmtId="41" fontId="0" fillId="9" borderId="57" xfId="20" applyFill="1" applyBorder="1" applyAlignment="1" applyProtection="1">
      <alignment/>
      <protection/>
    </xf>
    <xf numFmtId="41" fontId="3" fillId="9" borderId="57" xfId="20" applyFont="1" applyFill="1" applyBorder="1" applyAlignment="1" applyProtection="1">
      <alignment/>
      <protection/>
    </xf>
    <xf numFmtId="41" fontId="0" fillId="9" borderId="57" xfId="20" applyFill="1" applyBorder="1" applyAlignment="1" applyProtection="1">
      <alignment/>
      <protection locked="0"/>
    </xf>
    <xf numFmtId="41" fontId="0" fillId="9" borderId="57" xfId="20" applyFill="1" applyBorder="1" applyAlignment="1">
      <alignment/>
    </xf>
    <xf numFmtId="0" fontId="0" fillId="9" borderId="58" xfId="0" applyFill="1" applyBorder="1" applyAlignment="1">
      <alignment/>
    </xf>
    <xf numFmtId="0" fontId="3" fillId="9" borderId="56" xfId="0" applyFont="1" applyFill="1" applyBorder="1" applyAlignment="1">
      <alignment horizontal="right"/>
    </xf>
    <xf numFmtId="0" fontId="1" fillId="9" borderId="56" xfId="0" applyFont="1" applyFill="1" applyBorder="1" applyAlignment="1">
      <alignment/>
    </xf>
    <xf numFmtId="172" fontId="0" fillId="9" borderId="58" xfId="19" applyNumberFormat="1" applyFill="1" applyBorder="1" applyAlignment="1" applyProtection="1">
      <alignment/>
      <protection/>
    </xf>
    <xf numFmtId="172" fontId="0" fillId="9" borderId="58" xfId="19" applyNumberFormat="1" applyFill="1" applyBorder="1" applyAlignment="1" applyProtection="1">
      <alignment/>
      <protection locked="0"/>
    </xf>
    <xf numFmtId="41" fontId="0" fillId="9" borderId="58" xfId="20" applyFill="1" applyBorder="1" applyAlignment="1" applyProtection="1">
      <alignment/>
      <protection locked="0"/>
    </xf>
    <xf numFmtId="172" fontId="3" fillId="9" borderId="58" xfId="19" applyNumberFormat="1" applyFont="1" applyFill="1" applyBorder="1" applyAlignment="1">
      <alignment horizontal="center" wrapText="1"/>
    </xf>
    <xf numFmtId="0" fontId="3" fillId="9" borderId="56" xfId="0" applyFont="1" applyFill="1" applyBorder="1" applyAlignment="1">
      <alignment horizontal="left"/>
    </xf>
    <xf numFmtId="0" fontId="3" fillId="9" borderId="59" xfId="0" applyFont="1" applyFill="1" applyBorder="1" applyAlignment="1">
      <alignment horizontal="right"/>
    </xf>
    <xf numFmtId="41" fontId="3" fillId="9" borderId="60" xfId="20" applyFont="1" applyFill="1" applyBorder="1" applyAlignment="1" applyProtection="1">
      <alignment/>
      <protection/>
    </xf>
    <xf numFmtId="0" fontId="3" fillId="9" borderId="65" xfId="0" applyFont="1" applyFill="1" applyBorder="1" applyAlignment="1">
      <alignment horizontal="right"/>
    </xf>
    <xf numFmtId="41" fontId="3" fillId="9" borderId="66" xfId="20" applyFont="1" applyFill="1" applyBorder="1" applyAlignment="1" applyProtection="1">
      <alignment/>
      <protection/>
    </xf>
    <xf numFmtId="0" fontId="1" fillId="9" borderId="62" xfId="0" applyFont="1" applyFill="1" applyBorder="1" applyAlignment="1">
      <alignment/>
    </xf>
    <xf numFmtId="165" fontId="0" fillId="9" borderId="63" xfId="17" applyFill="1" applyBorder="1" applyAlignment="1">
      <alignment/>
    </xf>
    <xf numFmtId="0" fontId="0" fillId="9" borderId="62" xfId="0" applyFill="1" applyBorder="1" applyAlignment="1">
      <alignment/>
    </xf>
    <xf numFmtId="41" fontId="0" fillId="9" borderId="63" xfId="20" applyFill="1" applyBorder="1" applyAlignment="1" applyProtection="1">
      <alignment/>
      <protection/>
    </xf>
    <xf numFmtId="0" fontId="0" fillId="9" borderId="57" xfId="0" applyFill="1" applyBorder="1" applyAlignment="1" applyProtection="1">
      <alignment/>
      <protection locked="0"/>
    </xf>
    <xf numFmtId="9" fontId="0" fillId="9" borderId="57" xfId="19" applyFill="1" applyBorder="1" applyAlignment="1" applyProtection="1">
      <alignment/>
      <protection locked="0"/>
    </xf>
    <xf numFmtId="9" fontId="0" fillId="9" borderId="57" xfId="19" applyFill="1" applyBorder="1" applyAlignment="1">
      <alignment/>
    </xf>
    <xf numFmtId="164" fontId="0" fillId="9" borderId="57" xfId="0" applyNumberFormat="1" applyFont="1" applyFill="1" applyBorder="1" applyAlignment="1" applyProtection="1">
      <alignment horizontal="center"/>
      <protection locked="0"/>
    </xf>
    <xf numFmtId="41" fontId="0" fillId="9" borderId="57" xfId="20" applyFont="1" applyFill="1" applyBorder="1" applyAlignment="1">
      <alignment/>
    </xf>
    <xf numFmtId="164" fontId="0" fillId="9" borderId="57" xfId="0" applyNumberFormat="1" applyFont="1" applyFill="1" applyBorder="1" applyAlignment="1">
      <alignment horizontal="center"/>
    </xf>
    <xf numFmtId="172" fontId="0" fillId="9" borderId="57" xfId="19" applyNumberFormat="1" applyFont="1" applyFill="1" applyBorder="1" applyAlignment="1" applyProtection="1">
      <alignment horizontal="center"/>
      <protection locked="0"/>
    </xf>
    <xf numFmtId="164" fontId="0" fillId="9" borderId="56" xfId="0" applyNumberFormat="1" applyFont="1" applyFill="1" applyBorder="1" applyAlignment="1">
      <alignment horizontal="left"/>
    </xf>
    <xf numFmtId="0" fontId="0" fillId="9" borderId="58" xfId="0" applyFill="1" applyBorder="1" applyAlignment="1">
      <alignment horizontal="center"/>
    </xf>
    <xf numFmtId="164" fontId="0" fillId="9" borderId="59" xfId="0" applyNumberFormat="1" applyFont="1" applyFill="1" applyBorder="1" applyAlignment="1">
      <alignment horizontal="left"/>
    </xf>
    <xf numFmtId="172" fontId="0" fillId="9" borderId="60" xfId="19" applyNumberFormat="1" applyFont="1" applyFill="1" applyBorder="1" applyAlignment="1" applyProtection="1">
      <alignment horizontal="center"/>
      <protection locked="0"/>
    </xf>
    <xf numFmtId="172" fontId="0" fillId="9" borderId="61" xfId="19" applyNumberFormat="1" applyFill="1" applyBorder="1" applyAlignment="1" applyProtection="1">
      <alignment/>
      <protection locked="0"/>
    </xf>
    <xf numFmtId="0" fontId="3" fillId="2" borderId="0" xfId="0" applyFont="1" applyFill="1" applyBorder="1" applyAlignment="1">
      <alignment horizontal="center"/>
    </xf>
    <xf numFmtId="0" fontId="0" fillId="9" borderId="0" xfId="0" applyFont="1" applyFill="1" applyAlignment="1">
      <alignment/>
    </xf>
    <xf numFmtId="0" fontId="28" fillId="7" borderId="0" xfId="0" applyFont="1" applyFill="1" applyAlignment="1">
      <alignment/>
    </xf>
    <xf numFmtId="164" fontId="3" fillId="9" borderId="67" xfId="0" applyNumberFormat="1" applyFont="1" applyFill="1" applyBorder="1" applyAlignment="1" applyProtection="1">
      <alignment horizontal="center" wrapText="1"/>
      <protection/>
    </xf>
    <xf numFmtId="164" fontId="3" fillId="9" borderId="68" xfId="0" applyNumberFormat="1" applyFont="1" applyFill="1" applyBorder="1" applyAlignment="1" applyProtection="1">
      <alignment horizontal="center" wrapText="1"/>
      <protection/>
    </xf>
    <xf numFmtId="0" fontId="3" fillId="9" borderId="69" xfId="0" applyFont="1" applyFill="1" applyBorder="1" applyAlignment="1" applyProtection="1">
      <alignment horizontal="center" wrapText="1"/>
      <protection/>
    </xf>
    <xf numFmtId="0" fontId="21" fillId="6" borderId="56" xfId="0" applyFont="1" applyFill="1" applyBorder="1" applyAlignment="1" applyProtection="1">
      <alignment horizontal="center" wrapText="1"/>
      <protection locked="0"/>
    </xf>
    <xf numFmtId="41" fontId="21" fillId="6" borderId="57" xfId="20" applyFont="1" applyFill="1" applyBorder="1" applyAlignment="1" applyProtection="1">
      <alignment horizontal="center" wrapText="1"/>
      <protection locked="0"/>
    </xf>
    <xf numFmtId="41" fontId="0" fillId="6" borderId="57" xfId="20" applyFont="1" applyFill="1" applyBorder="1" applyAlignment="1" applyProtection="1">
      <alignment/>
      <protection locked="0"/>
    </xf>
    <xf numFmtId="1" fontId="0" fillId="6" borderId="58" xfId="0" applyNumberFormat="1" applyFill="1" applyBorder="1" applyAlignment="1" applyProtection="1">
      <alignment/>
      <protection locked="0"/>
    </xf>
    <xf numFmtId="165" fontId="21" fillId="6" borderId="57" xfId="20" applyNumberFormat="1" applyFont="1" applyFill="1" applyBorder="1" applyAlignment="1" applyProtection="1">
      <alignment horizontal="center" wrapText="1"/>
      <protection locked="0"/>
    </xf>
    <xf numFmtId="165" fontId="0" fillId="6" borderId="57" xfId="20" applyNumberFormat="1" applyFont="1" applyFill="1" applyBorder="1" applyAlignment="1" applyProtection="1">
      <alignment/>
      <protection locked="0"/>
    </xf>
    <xf numFmtId="9" fontId="21" fillId="6" borderId="57" xfId="20" applyNumberFormat="1" applyFont="1" applyFill="1" applyBorder="1" applyAlignment="1" applyProtection="1">
      <alignment horizontal="center" wrapText="1"/>
      <protection locked="0"/>
    </xf>
    <xf numFmtId="9" fontId="0" fillId="6" borderId="57" xfId="20" applyNumberFormat="1" applyFont="1" applyFill="1" applyBorder="1" applyAlignment="1" applyProtection="1">
      <alignment/>
      <protection locked="0"/>
    </xf>
    <xf numFmtId="0" fontId="0" fillId="6" borderId="59" xfId="0" applyNumberFormat="1" applyFont="1" applyFill="1" applyBorder="1" applyAlignment="1" applyProtection="1">
      <alignment horizontal="left"/>
      <protection locked="0"/>
    </xf>
    <xf numFmtId="41" fontId="0" fillId="6" borderId="60" xfId="20" applyFont="1" applyFill="1" applyBorder="1" applyAlignment="1" applyProtection="1">
      <alignment/>
      <protection locked="0"/>
    </xf>
    <xf numFmtId="1" fontId="0" fillId="6" borderId="61" xfId="0" applyNumberFormat="1" applyFill="1" applyBorder="1" applyAlignment="1" applyProtection="1">
      <alignment/>
      <protection locked="0"/>
    </xf>
    <xf numFmtId="10" fontId="0" fillId="9" borderId="58" xfId="19" applyNumberFormat="1" applyFont="1" applyFill="1" applyBorder="1" applyAlignment="1" applyProtection="1">
      <alignment/>
      <protection locked="0"/>
    </xf>
    <xf numFmtId="41" fontId="0" fillId="9" borderId="58" xfId="20" applyFont="1" applyFill="1" applyBorder="1" applyAlignment="1" applyProtection="1">
      <alignment/>
      <protection locked="0"/>
    </xf>
    <xf numFmtId="172" fontId="0" fillId="9" borderId="58" xfId="19" applyNumberFormat="1" applyFill="1" applyBorder="1" applyAlignment="1" applyProtection="1">
      <alignment horizontal="right"/>
      <protection locked="0"/>
    </xf>
    <xf numFmtId="10" fontId="0" fillId="9" borderId="58" xfId="19" applyNumberFormat="1" applyFont="1" applyFill="1" applyBorder="1" applyAlignment="1" applyProtection="1">
      <alignment/>
      <protection locked="0"/>
    </xf>
    <xf numFmtId="0" fontId="0" fillId="9" borderId="61" xfId="0" applyFill="1" applyBorder="1" applyAlignment="1" applyProtection="1">
      <alignment/>
      <protection locked="0"/>
    </xf>
    <xf numFmtId="0" fontId="10" fillId="9" borderId="56" xfId="0" applyFont="1" applyFill="1" applyBorder="1" applyAlignment="1">
      <alignment/>
    </xf>
    <xf numFmtId="0" fontId="25" fillId="2" borderId="24" xfId="0" applyFont="1" applyFill="1" applyBorder="1" applyAlignment="1">
      <alignment horizontal="center"/>
    </xf>
    <xf numFmtId="0" fontId="25" fillId="2" borderId="0" xfId="0" applyFont="1" applyFill="1" applyBorder="1" applyAlignment="1">
      <alignment horizontal="center"/>
    </xf>
    <xf numFmtId="0" fontId="25" fillId="2" borderId="52" xfId="0" applyFont="1" applyFill="1" applyBorder="1" applyAlignment="1">
      <alignment horizontal="center"/>
    </xf>
    <xf numFmtId="0" fontId="25" fillId="2" borderId="70" xfId="0" applyFont="1" applyFill="1" applyBorder="1" applyAlignment="1">
      <alignment horizontal="center"/>
    </xf>
    <xf numFmtId="0" fontId="0" fillId="9" borderId="64" xfId="0" applyFill="1" applyBorder="1" applyAlignment="1">
      <alignment horizontal="center"/>
    </xf>
    <xf numFmtId="172" fontId="0" fillId="9" borderId="58" xfId="19" applyNumberFormat="1" applyFill="1" applyBorder="1" applyAlignment="1" applyProtection="1">
      <alignment horizontal="center"/>
      <protection/>
    </xf>
    <xf numFmtId="172" fontId="0" fillId="9" borderId="58" xfId="19" applyNumberFormat="1" applyFill="1" applyBorder="1" applyAlignment="1" applyProtection="1">
      <alignment horizontal="center"/>
      <protection locked="0"/>
    </xf>
    <xf numFmtId="41" fontId="0" fillId="9" borderId="58" xfId="20" applyFill="1" applyBorder="1" applyAlignment="1" applyProtection="1">
      <alignment horizontal="center"/>
      <protection locked="0"/>
    </xf>
    <xf numFmtId="0" fontId="0" fillId="9" borderId="61" xfId="0" applyFill="1" applyBorder="1" applyAlignment="1">
      <alignment horizontal="center"/>
    </xf>
    <xf numFmtId="9" fontId="0" fillId="9" borderId="58" xfId="19" applyFill="1" applyBorder="1" applyAlignment="1" applyProtection="1">
      <alignment horizontal="center"/>
      <protection locked="0"/>
    </xf>
    <xf numFmtId="0" fontId="0" fillId="9" borderId="71" xfId="0" applyFill="1" applyBorder="1" applyAlignment="1">
      <alignment horizontal="center"/>
    </xf>
    <xf numFmtId="0" fontId="0" fillId="3" borderId="72" xfId="0" applyFill="1" applyBorder="1" applyAlignment="1">
      <alignment/>
    </xf>
    <xf numFmtId="172" fontId="0" fillId="3" borderId="73" xfId="19" applyNumberFormat="1" applyFill="1" applyBorder="1" applyAlignment="1" applyProtection="1">
      <alignment/>
      <protection locked="0"/>
    </xf>
    <xf numFmtId="0" fontId="0" fillId="3" borderId="74" xfId="0" applyFill="1" applyBorder="1" applyAlignment="1">
      <alignment horizontal="center" vertical="center"/>
    </xf>
    <xf numFmtId="0" fontId="0" fillId="3" borderId="75" xfId="0" applyFill="1" applyBorder="1" applyAlignment="1">
      <alignment/>
    </xf>
    <xf numFmtId="172" fontId="0" fillId="3" borderId="76" xfId="19" applyNumberFormat="1" applyFill="1" applyBorder="1" applyAlignment="1" applyProtection="1">
      <alignment/>
      <protection locked="0"/>
    </xf>
    <xf numFmtId="0" fontId="0" fillId="3" borderId="50" xfId="0" applyFill="1" applyBorder="1" applyAlignment="1">
      <alignment horizontal="center" vertical="center"/>
    </xf>
    <xf numFmtId="41" fontId="0" fillId="3" borderId="76" xfId="20" applyFill="1" applyBorder="1" applyAlignment="1" applyProtection="1">
      <alignment/>
      <protection/>
    </xf>
    <xf numFmtId="0" fontId="0" fillId="3" borderId="76" xfId="0" applyFill="1" applyBorder="1" applyAlignment="1" applyProtection="1">
      <alignment/>
      <protection locked="0"/>
    </xf>
    <xf numFmtId="0" fontId="0" fillId="3" borderId="50" xfId="0" applyFill="1" applyBorder="1" applyAlignment="1">
      <alignment/>
    </xf>
    <xf numFmtId="0" fontId="0" fillId="3" borderId="76" xfId="0" applyFill="1" applyBorder="1" applyAlignment="1" applyProtection="1">
      <alignment horizontal="center"/>
      <protection locked="0"/>
    </xf>
    <xf numFmtId="41" fontId="0" fillId="3" borderId="76" xfId="20" applyFill="1" applyBorder="1" applyAlignment="1" applyProtection="1">
      <alignment horizontal="right"/>
      <protection locked="0"/>
    </xf>
    <xf numFmtId="201" fontId="0" fillId="3" borderId="76" xfId="0" applyNumberFormat="1" applyFill="1" applyBorder="1" applyAlignment="1">
      <alignment/>
    </xf>
    <xf numFmtId="172" fontId="0" fillId="3" borderId="50" xfId="19" applyNumberFormat="1" applyFill="1" applyBorder="1" applyAlignment="1" applyProtection="1">
      <alignment/>
      <protection locked="0"/>
    </xf>
    <xf numFmtId="171" fontId="0" fillId="3" borderId="76" xfId="0" applyNumberFormat="1" applyFill="1" applyBorder="1" applyAlignment="1">
      <alignment/>
    </xf>
    <xf numFmtId="172" fontId="0" fillId="3" borderId="50" xfId="19" applyNumberFormat="1" applyFill="1" applyBorder="1" applyAlignment="1">
      <alignment/>
    </xf>
    <xf numFmtId="0" fontId="0" fillId="3" borderId="77" xfId="0" applyFill="1" applyBorder="1" applyAlignment="1">
      <alignment/>
    </xf>
    <xf numFmtId="0" fontId="0" fillId="3" borderId="78" xfId="0" applyFill="1" applyBorder="1" applyAlignment="1" applyProtection="1">
      <alignment/>
      <protection/>
    </xf>
    <xf numFmtId="0" fontId="0" fillId="3" borderId="51" xfId="0" applyFill="1" applyBorder="1" applyAlignment="1">
      <alignment/>
    </xf>
    <xf numFmtId="0" fontId="1" fillId="3" borderId="24" xfId="0" applyFont="1" applyFill="1" applyBorder="1" applyAlignment="1">
      <alignment horizontal="left"/>
    </xf>
    <xf numFmtId="0" fontId="0" fillId="3" borderId="25" xfId="0" applyFill="1" applyBorder="1" applyAlignment="1">
      <alignment/>
    </xf>
    <xf numFmtId="0" fontId="0" fillId="3" borderId="24" xfId="0" applyFill="1" applyBorder="1" applyAlignment="1" applyProtection="1">
      <alignment/>
      <protection/>
    </xf>
    <xf numFmtId="41" fontId="0" fillId="3" borderId="79" xfId="20" applyFill="1" applyBorder="1" applyAlignment="1" applyProtection="1">
      <alignment horizontal="center"/>
      <protection/>
    </xf>
    <xf numFmtId="0" fontId="1" fillId="3" borderId="24" xfId="0" applyFont="1" applyFill="1" applyBorder="1" applyAlignment="1" applyProtection="1">
      <alignment/>
      <protection/>
    </xf>
    <xf numFmtId="41" fontId="1" fillId="3" borderId="79" xfId="20" applyFont="1" applyFill="1" applyBorder="1" applyAlignment="1" applyProtection="1">
      <alignment horizontal="center"/>
      <protection/>
    </xf>
    <xf numFmtId="0" fontId="0" fillId="3" borderId="24" xfId="0" applyFont="1" applyFill="1" applyBorder="1" applyAlignment="1" applyProtection="1">
      <alignment/>
      <protection/>
    </xf>
    <xf numFmtId="0" fontId="0" fillId="3" borderId="24" xfId="0" applyFont="1" applyFill="1" applyBorder="1" applyAlignment="1" applyProtection="1">
      <alignment horizontal="left"/>
      <protection/>
    </xf>
    <xf numFmtId="41" fontId="3" fillId="3" borderId="25" xfId="20" applyFont="1" applyFill="1" applyBorder="1" applyAlignment="1" applyProtection="1">
      <alignment horizontal="center"/>
      <protection/>
    </xf>
    <xf numFmtId="0" fontId="0" fillId="3" borderId="24" xfId="0" applyFill="1" applyBorder="1" applyAlignment="1" applyProtection="1">
      <alignment horizontal="left"/>
      <protection/>
    </xf>
    <xf numFmtId="0" fontId="0" fillId="3" borderId="80" xfId="0" applyFill="1" applyBorder="1" applyAlignment="1" applyProtection="1">
      <alignment/>
      <protection/>
    </xf>
    <xf numFmtId="41" fontId="0" fillId="3" borderId="81" xfId="20" applyFill="1" applyBorder="1" applyAlignment="1" applyProtection="1">
      <alignment horizontal="center"/>
      <protection/>
    </xf>
    <xf numFmtId="0" fontId="1" fillId="4" borderId="24" xfId="0" applyFont="1" applyFill="1" applyBorder="1" applyAlignment="1">
      <alignment horizontal="left"/>
    </xf>
    <xf numFmtId="0" fontId="0" fillId="4" borderId="25" xfId="0" applyFill="1" applyBorder="1" applyAlignment="1">
      <alignment/>
    </xf>
    <xf numFmtId="41" fontId="0" fillId="4" borderId="25" xfId="20" applyFill="1" applyBorder="1" applyAlignment="1" applyProtection="1">
      <alignment horizontal="center"/>
      <protection/>
    </xf>
    <xf numFmtId="41" fontId="1" fillId="4" borderId="25" xfId="20" applyFont="1" applyFill="1" applyBorder="1" applyAlignment="1" applyProtection="1">
      <alignment horizontal="center"/>
      <protection/>
    </xf>
    <xf numFmtId="41" fontId="3" fillId="4" borderId="25" xfId="20" applyFont="1" applyFill="1" applyBorder="1" applyAlignment="1" applyProtection="1">
      <alignment horizontal="center"/>
      <protection/>
    </xf>
    <xf numFmtId="0" fontId="0" fillId="4" borderId="24" xfId="0" applyFont="1" applyFill="1" applyBorder="1" applyAlignment="1" applyProtection="1">
      <alignment/>
      <protection/>
    </xf>
    <xf numFmtId="9" fontId="0" fillId="4" borderId="25" xfId="20" applyNumberFormat="1" applyFill="1" applyBorder="1" applyAlignment="1" applyProtection="1">
      <alignment horizontal="center"/>
      <protection/>
    </xf>
    <xf numFmtId="0" fontId="0" fillId="4" borderId="80" xfId="0" applyFill="1" applyBorder="1" applyAlignment="1" applyProtection="1">
      <alignment/>
      <protection/>
    </xf>
    <xf numFmtId="0" fontId="0" fillId="4" borderId="70" xfId="0" applyFill="1" applyBorder="1" applyAlignment="1" applyProtection="1">
      <alignment/>
      <protection/>
    </xf>
    <xf numFmtId="0" fontId="3" fillId="0" borderId="10" xfId="0" applyFont="1" applyFill="1" applyBorder="1" applyAlignment="1">
      <alignment horizontal="left" vertical="center"/>
    </xf>
    <xf numFmtId="0" fontId="3" fillId="0" borderId="82" xfId="0" applyFont="1" applyFill="1" applyBorder="1" applyAlignment="1">
      <alignment horizontal="center" vertical="center" wrapText="1"/>
    </xf>
    <xf numFmtId="0" fontId="3" fillId="0" borderId="10" xfId="0" applyFont="1" applyBorder="1" applyAlignment="1">
      <alignment horizontal="left" vertical="center"/>
    </xf>
    <xf numFmtId="0" fontId="3" fillId="0" borderId="82" xfId="0" applyFont="1" applyBorder="1" applyAlignment="1">
      <alignment horizontal="center" vertical="center" wrapText="1"/>
    </xf>
    <xf numFmtId="0" fontId="0" fillId="4" borderId="0" xfId="0" applyFill="1" applyBorder="1" applyAlignment="1" applyProtection="1">
      <alignment/>
      <protection/>
    </xf>
    <xf numFmtId="0" fontId="0" fillId="4" borderId="24" xfId="0" applyFont="1" applyFill="1" applyBorder="1" applyAlignment="1">
      <alignment/>
    </xf>
    <xf numFmtId="41" fontId="0" fillId="4" borderId="0" xfId="20" applyFill="1" applyBorder="1" applyAlignment="1" applyProtection="1">
      <alignment/>
      <protection/>
    </xf>
    <xf numFmtId="0" fontId="0" fillId="4" borderId="24" xfId="0" applyFill="1" applyBorder="1" applyAlignment="1">
      <alignment/>
    </xf>
    <xf numFmtId="0" fontId="0" fillId="4" borderId="0" xfId="0" applyNumberFormat="1" applyFill="1" applyBorder="1" applyAlignment="1" applyProtection="1">
      <alignment/>
      <protection/>
    </xf>
    <xf numFmtId="0" fontId="0" fillId="4" borderId="25" xfId="0" applyFill="1" applyBorder="1" applyAlignment="1" applyProtection="1">
      <alignment horizontal="center" wrapText="1"/>
      <protection/>
    </xf>
    <xf numFmtId="0" fontId="0" fillId="4" borderId="80" xfId="0" applyFill="1" applyBorder="1" applyAlignment="1">
      <alignment/>
    </xf>
    <xf numFmtId="172" fontId="0" fillId="4" borderId="52" xfId="0" applyNumberFormat="1" applyFill="1" applyBorder="1" applyAlignment="1" applyProtection="1">
      <alignment/>
      <protection/>
    </xf>
    <xf numFmtId="172" fontId="0" fillId="4" borderId="70" xfId="0" applyNumberFormat="1" applyFill="1" applyBorder="1" applyAlignment="1" applyProtection="1">
      <alignment/>
      <protection/>
    </xf>
    <xf numFmtId="0" fontId="0" fillId="0" borderId="22" xfId="0" applyBorder="1" applyAlignment="1">
      <alignment horizontal="center"/>
    </xf>
    <xf numFmtId="0" fontId="0" fillId="0" borderId="23" xfId="0" applyBorder="1" applyAlignment="1">
      <alignment horizontal="center"/>
    </xf>
    <xf numFmtId="0" fontId="0" fillId="4" borderId="83" xfId="0" applyFill="1" applyBorder="1" applyAlignment="1">
      <alignment/>
    </xf>
    <xf numFmtId="43" fontId="0" fillId="4" borderId="84" xfId="0" applyNumberFormat="1" applyFill="1" applyBorder="1" applyAlignment="1">
      <alignment/>
    </xf>
    <xf numFmtId="43" fontId="0" fillId="4" borderId="85" xfId="0" applyNumberFormat="1" applyFill="1" applyBorder="1" applyAlignment="1">
      <alignment/>
    </xf>
    <xf numFmtId="0" fontId="0" fillId="4" borderId="37" xfId="0" applyFill="1" applyBorder="1" applyAlignment="1">
      <alignment/>
    </xf>
    <xf numFmtId="2" fontId="0" fillId="4" borderId="18" xfId="0" applyNumberFormat="1" applyFill="1" applyBorder="1" applyAlignment="1">
      <alignment/>
    </xf>
    <xf numFmtId="2" fontId="0" fillId="4" borderId="21" xfId="0" applyNumberFormat="1" applyFill="1" applyBorder="1" applyAlignment="1">
      <alignment/>
    </xf>
    <xf numFmtId="43" fontId="0" fillId="4" borderId="18" xfId="0" applyNumberFormat="1" applyFill="1" applyBorder="1" applyAlignment="1">
      <alignment/>
    </xf>
    <xf numFmtId="43" fontId="0" fillId="4" borderId="21" xfId="0" applyNumberFormat="1" applyFill="1" applyBorder="1" applyAlignment="1">
      <alignment/>
    </xf>
    <xf numFmtId="172" fontId="0" fillId="4" borderId="18" xfId="19" applyNumberFormat="1" applyFill="1" applyBorder="1" applyAlignment="1">
      <alignment/>
    </xf>
    <xf numFmtId="172" fontId="0" fillId="4" borderId="21" xfId="19" applyNumberFormat="1" applyFill="1" applyBorder="1" applyAlignment="1">
      <alignment/>
    </xf>
    <xf numFmtId="172" fontId="0" fillId="4" borderId="18" xfId="0" applyNumberFormat="1" applyFill="1" applyBorder="1" applyAlignment="1">
      <alignment/>
    </xf>
    <xf numFmtId="41" fontId="0" fillId="4" borderId="18" xfId="0" applyNumberFormat="1" applyFill="1" applyBorder="1" applyAlignment="1">
      <alignment/>
    </xf>
    <xf numFmtId="41" fontId="0" fillId="4" borderId="21" xfId="0" applyNumberFormat="1" applyFill="1" applyBorder="1" applyAlignment="1">
      <alignment/>
    </xf>
    <xf numFmtId="0" fontId="0" fillId="4" borderId="38" xfId="0" applyFill="1" applyBorder="1" applyAlignment="1">
      <alignment/>
    </xf>
    <xf numFmtId="0" fontId="0" fillId="4" borderId="22" xfId="0" applyFill="1" applyBorder="1" applyAlignment="1">
      <alignment/>
    </xf>
    <xf numFmtId="41" fontId="0" fillId="4" borderId="22" xfId="0" applyNumberFormat="1" applyFill="1" applyBorder="1" applyAlignment="1">
      <alignment/>
    </xf>
    <xf numFmtId="41" fontId="0" fillId="4" borderId="23" xfId="0" applyNumberFormat="1" applyFill="1" applyBorder="1" applyAlignment="1">
      <alignment/>
    </xf>
    <xf numFmtId="0" fontId="3" fillId="4" borderId="26" xfId="0" applyFont="1" applyFill="1" applyBorder="1" applyAlignment="1">
      <alignment/>
    </xf>
    <xf numFmtId="0" fontId="0" fillId="4" borderId="27" xfId="0" applyFont="1" applyFill="1" applyBorder="1" applyAlignment="1">
      <alignment/>
    </xf>
    <xf numFmtId="165" fontId="4" fillId="4" borderId="27" xfId="0" applyNumberFormat="1" applyFont="1" applyFill="1" applyBorder="1" applyAlignment="1">
      <alignment/>
    </xf>
    <xf numFmtId="165" fontId="0" fillId="4" borderId="27" xfId="0" applyNumberFormat="1" applyFont="1" applyFill="1" applyBorder="1" applyAlignment="1">
      <alignment/>
    </xf>
    <xf numFmtId="0" fontId="1" fillId="4" borderId="27" xfId="0" applyFont="1" applyFill="1" applyBorder="1" applyAlignment="1">
      <alignment/>
    </xf>
    <xf numFmtId="0" fontId="0" fillId="4" borderId="29" xfId="0" applyFill="1" applyBorder="1" applyAlignment="1">
      <alignment/>
    </xf>
    <xf numFmtId="0" fontId="0" fillId="4" borderId="11" xfId="0" applyFont="1" applyFill="1" applyBorder="1" applyAlignment="1">
      <alignment horizontal="center"/>
    </xf>
    <xf numFmtId="0" fontId="0" fillId="4" borderId="0" xfId="0" applyFont="1" applyFill="1" applyBorder="1" applyAlignment="1">
      <alignment horizontal="center"/>
    </xf>
    <xf numFmtId="0" fontId="0" fillId="4" borderId="0" xfId="0" applyFont="1" applyFill="1" applyBorder="1" applyAlignment="1">
      <alignment/>
    </xf>
    <xf numFmtId="0" fontId="0" fillId="4" borderId="12" xfId="0" applyFont="1" applyFill="1" applyBorder="1" applyAlignment="1">
      <alignment horizontal="center"/>
    </xf>
    <xf numFmtId="0" fontId="11" fillId="4" borderId="11" xfId="0" applyFont="1" applyFill="1" applyBorder="1" applyAlignment="1">
      <alignment/>
    </xf>
    <xf numFmtId="0" fontId="11" fillId="4" borderId="0" xfId="0" applyFont="1" applyFill="1" applyBorder="1" applyAlignment="1">
      <alignment/>
    </xf>
    <xf numFmtId="171" fontId="0" fillId="4" borderId="0" xfId="0" applyNumberFormat="1" applyFont="1" applyFill="1" applyBorder="1" applyAlignment="1">
      <alignment/>
    </xf>
    <xf numFmtId="0" fontId="0" fillId="4" borderId="12" xfId="0" applyFont="1" applyFill="1" applyBorder="1" applyAlignment="1">
      <alignment/>
    </xf>
    <xf numFmtId="0" fontId="3" fillId="4" borderId="11" xfId="0" applyFont="1" applyFill="1" applyBorder="1" applyAlignment="1">
      <alignment horizontal="left"/>
    </xf>
    <xf numFmtId="0" fontId="3" fillId="4" borderId="0" xfId="0" applyFont="1" applyFill="1" applyBorder="1" applyAlignment="1">
      <alignment horizontal="left"/>
    </xf>
    <xf numFmtId="0" fontId="2" fillId="4" borderId="0" xfId="0" applyFont="1" applyFill="1" applyBorder="1" applyAlignment="1">
      <alignment/>
    </xf>
    <xf numFmtId="0" fontId="0" fillId="4" borderId="11" xfId="0" applyFont="1" applyFill="1" applyBorder="1" applyAlignment="1">
      <alignment/>
    </xf>
    <xf numFmtId="41" fontId="6" fillId="4" borderId="0" xfId="20" applyFont="1" applyFill="1" applyBorder="1" applyAlignment="1">
      <alignment/>
    </xf>
    <xf numFmtId="41" fontId="0" fillId="4" borderId="12" xfId="20" applyFont="1" applyFill="1" applyBorder="1" applyAlignment="1">
      <alignment/>
    </xf>
    <xf numFmtId="41" fontId="0" fillId="4" borderId="9" xfId="20" applyFont="1" applyFill="1" applyBorder="1" applyAlignment="1">
      <alignment/>
    </xf>
    <xf numFmtId="41" fontId="0" fillId="4" borderId="28" xfId="20" applyFont="1" applyFill="1" applyBorder="1" applyAlignment="1">
      <alignment/>
    </xf>
    <xf numFmtId="0" fontId="3" fillId="4" borderId="11" xfId="0" applyFont="1" applyFill="1" applyBorder="1" applyAlignment="1">
      <alignment horizontal="right"/>
    </xf>
    <xf numFmtId="0" fontId="3" fillId="4" borderId="0" xfId="0" applyFont="1" applyFill="1" applyBorder="1" applyAlignment="1">
      <alignment horizontal="right"/>
    </xf>
    <xf numFmtId="41" fontId="0" fillId="4" borderId="0" xfId="20" applyFont="1" applyFill="1" applyBorder="1" applyAlignment="1">
      <alignment/>
    </xf>
    <xf numFmtId="41" fontId="2" fillId="4" borderId="0" xfId="20" applyFont="1" applyFill="1" applyBorder="1" applyAlignment="1">
      <alignment/>
    </xf>
    <xf numFmtId="187" fontId="0" fillId="4" borderId="0" xfId="20" applyNumberFormat="1" applyFont="1" applyFill="1" applyBorder="1" applyAlignment="1">
      <alignment/>
    </xf>
    <xf numFmtId="41" fontId="0" fillId="4" borderId="0" xfId="20" applyNumberFormat="1" applyFont="1" applyFill="1" applyBorder="1" applyAlignment="1">
      <alignment/>
    </xf>
    <xf numFmtId="0" fontId="0" fillId="4" borderId="11" xfId="0" applyFont="1" applyFill="1" applyBorder="1" applyAlignment="1">
      <alignment horizontal="right"/>
    </xf>
    <xf numFmtId="0" fontId="0" fillId="4" borderId="0" xfId="0" applyFont="1" applyFill="1" applyBorder="1" applyAlignment="1">
      <alignment horizontal="right"/>
    </xf>
    <xf numFmtId="41" fontId="9" fillId="4" borderId="0" xfId="20" applyFont="1" applyFill="1" applyBorder="1" applyAlignment="1">
      <alignment/>
    </xf>
    <xf numFmtId="0" fontId="0" fillId="4" borderId="11" xfId="0" applyFont="1" applyFill="1" applyBorder="1" applyAlignment="1">
      <alignment horizontal="left"/>
    </xf>
    <xf numFmtId="0" fontId="0" fillId="4" borderId="0" xfId="0" applyFont="1" applyFill="1" applyBorder="1" applyAlignment="1">
      <alignment horizontal="left"/>
    </xf>
    <xf numFmtId="41" fontId="6" fillId="4" borderId="9" xfId="20" applyFont="1" applyFill="1" applyBorder="1" applyAlignment="1">
      <alignment/>
    </xf>
    <xf numFmtId="2" fontId="7" fillId="4" borderId="11" xfId="0" applyNumberFormat="1" applyFont="1" applyFill="1" applyBorder="1" applyAlignment="1">
      <alignment horizontal="left"/>
    </xf>
    <xf numFmtId="2" fontId="7" fillId="4" borderId="0" xfId="0" applyNumberFormat="1" applyFont="1" applyFill="1" applyBorder="1" applyAlignment="1">
      <alignment horizontal="left"/>
    </xf>
    <xf numFmtId="2" fontId="6" fillId="4" borderId="11" xfId="0" applyNumberFormat="1" applyFont="1" applyFill="1" applyBorder="1" applyAlignment="1">
      <alignment/>
    </xf>
    <xf numFmtId="2" fontId="6" fillId="4" borderId="0" xfId="0" applyNumberFormat="1" applyFont="1" applyFill="1" applyBorder="1" applyAlignment="1">
      <alignment/>
    </xf>
    <xf numFmtId="2" fontId="10" fillId="4" borderId="11" xfId="0" applyNumberFormat="1" applyFont="1" applyFill="1" applyBorder="1" applyAlignment="1">
      <alignment horizontal="left"/>
    </xf>
    <xf numFmtId="2" fontId="10" fillId="4" borderId="0" xfId="0" applyNumberFormat="1" applyFont="1" applyFill="1" applyBorder="1" applyAlignment="1">
      <alignment horizontal="left"/>
    </xf>
    <xf numFmtId="2" fontId="7" fillId="4" borderId="11" xfId="0" applyNumberFormat="1" applyFont="1" applyFill="1" applyBorder="1" applyAlignment="1">
      <alignment horizontal="right"/>
    </xf>
    <xf numFmtId="2" fontId="7" fillId="4" borderId="0" xfId="0" applyNumberFormat="1" applyFont="1" applyFill="1" applyBorder="1" applyAlignment="1">
      <alignment horizontal="right"/>
    </xf>
    <xf numFmtId="41" fontId="6" fillId="4" borderId="12" xfId="20" applyFont="1" applyFill="1" applyBorder="1" applyAlignment="1">
      <alignment/>
    </xf>
    <xf numFmtId="2" fontId="7" fillId="4" borderId="11" xfId="0" applyNumberFormat="1" applyFont="1" applyFill="1" applyBorder="1" applyAlignment="1">
      <alignment horizontal="center"/>
    </xf>
    <xf numFmtId="2" fontId="7" fillId="4" borderId="0" xfId="0" applyNumberFormat="1" applyFont="1" applyFill="1" applyBorder="1" applyAlignment="1">
      <alignment horizontal="center"/>
    </xf>
    <xf numFmtId="41" fontId="13" fillId="4" borderId="0" xfId="20" applyFont="1" applyFill="1" applyBorder="1" applyAlignment="1">
      <alignment horizontal="center"/>
    </xf>
    <xf numFmtId="2" fontId="6" fillId="4" borderId="11" xfId="0" applyNumberFormat="1" applyFont="1" applyFill="1" applyBorder="1" applyAlignment="1">
      <alignment horizontal="left"/>
    </xf>
    <xf numFmtId="2" fontId="6" fillId="4" borderId="0" xfId="0" applyNumberFormat="1" applyFont="1" applyFill="1" applyBorder="1" applyAlignment="1">
      <alignment horizontal="left"/>
    </xf>
    <xf numFmtId="172" fontId="3" fillId="4" borderId="0" xfId="19" applyNumberFormat="1" applyFont="1" applyFill="1" applyBorder="1" applyAlignment="1">
      <alignment/>
    </xf>
    <xf numFmtId="0" fontId="0" fillId="4" borderId="13" xfId="0" applyFont="1" applyFill="1" applyBorder="1" applyAlignment="1">
      <alignment horizontal="left"/>
    </xf>
    <xf numFmtId="0" fontId="0" fillId="4" borderId="15" xfId="0" applyFont="1" applyFill="1" applyBorder="1" applyAlignment="1">
      <alignment horizontal="left"/>
    </xf>
    <xf numFmtId="9" fontId="0" fillId="4" borderId="15" xfId="19" applyFont="1" applyFill="1" applyBorder="1" applyAlignment="1">
      <alignment horizontal="center"/>
    </xf>
    <xf numFmtId="41" fontId="3" fillId="4" borderId="15" xfId="20" applyFont="1" applyFill="1" applyBorder="1" applyAlignment="1">
      <alignment/>
    </xf>
    <xf numFmtId="41" fontId="0" fillId="4" borderId="15" xfId="20" applyFont="1" applyFill="1" applyBorder="1" applyAlignment="1">
      <alignment/>
    </xf>
    <xf numFmtId="41" fontId="6" fillId="4" borderId="14" xfId="20" applyFont="1" applyFill="1" applyBorder="1" applyAlignment="1">
      <alignment/>
    </xf>
    <xf numFmtId="0" fontId="0" fillId="0" borderId="0" xfId="0" applyFont="1" applyFill="1" applyBorder="1" applyAlignment="1">
      <alignment horizontal="left"/>
    </xf>
    <xf numFmtId="41" fontId="0" fillId="0" borderId="0" xfId="20" applyFont="1" applyFill="1" applyBorder="1" applyAlignment="1">
      <alignment/>
    </xf>
    <xf numFmtId="167" fontId="0" fillId="0" borderId="0" xfId="20" applyNumberFormat="1" applyFont="1" applyFill="1" applyBorder="1" applyAlignment="1">
      <alignment/>
    </xf>
    <xf numFmtId="0" fontId="11" fillId="0" borderId="0" xfId="0" applyFont="1" applyFill="1" applyAlignment="1">
      <alignment/>
    </xf>
    <xf numFmtId="41" fontId="0" fillId="0" borderId="0" xfId="20" applyFont="1" applyFill="1" applyBorder="1" applyAlignment="1">
      <alignment horizontal="left"/>
    </xf>
    <xf numFmtId="41" fontId="0" fillId="0" borderId="0" xfId="20" applyFont="1" applyFill="1" applyAlignment="1">
      <alignment/>
    </xf>
    <xf numFmtId="0" fontId="3" fillId="4" borderId="27" xfId="0" applyFont="1" applyFill="1" applyBorder="1" applyAlignment="1">
      <alignment horizontal="center"/>
    </xf>
    <xf numFmtId="165" fontId="3" fillId="4" borderId="27" xfId="20" applyNumberFormat="1" applyFont="1" applyFill="1" applyBorder="1" applyAlignment="1">
      <alignment horizontal="left"/>
    </xf>
    <xf numFmtId="41" fontId="0" fillId="4" borderId="27" xfId="20" applyFont="1" applyFill="1" applyBorder="1" applyAlignment="1">
      <alignment/>
    </xf>
    <xf numFmtId="41" fontId="0" fillId="4" borderId="29" xfId="20" applyFont="1" applyFill="1" applyBorder="1" applyAlignment="1">
      <alignment/>
    </xf>
    <xf numFmtId="0" fontId="3" fillId="4" borderId="15" xfId="0" applyFont="1" applyFill="1" applyBorder="1" applyAlignment="1">
      <alignment horizontal="center"/>
    </xf>
    <xf numFmtId="165" fontId="3" fillId="4" borderId="15" xfId="20" applyNumberFormat="1" applyFont="1" applyFill="1" applyBorder="1" applyAlignment="1">
      <alignment horizontal="left"/>
    </xf>
    <xf numFmtId="41" fontId="0" fillId="4" borderId="15" xfId="20" applyFont="1" applyFill="1" applyBorder="1" applyAlignment="1">
      <alignment horizontal="center"/>
    </xf>
    <xf numFmtId="41" fontId="0" fillId="4" borderId="14" xfId="20" applyFont="1" applyFill="1" applyBorder="1" applyAlignment="1">
      <alignment horizontal="center"/>
    </xf>
    <xf numFmtId="0" fontId="3" fillId="4" borderId="11" xfId="0" applyFont="1" applyFill="1" applyBorder="1" applyAlignment="1">
      <alignment/>
    </xf>
    <xf numFmtId="0" fontId="19" fillId="4" borderId="0" xfId="0" applyFont="1" applyFill="1" applyBorder="1" applyAlignment="1">
      <alignment/>
    </xf>
    <xf numFmtId="41" fontId="0" fillId="4" borderId="0" xfId="20" applyFont="1" applyFill="1" applyBorder="1" applyAlignment="1">
      <alignment horizontal="left"/>
    </xf>
    <xf numFmtId="41" fontId="0" fillId="4" borderId="11" xfId="20" applyFont="1" applyFill="1" applyBorder="1" applyAlignment="1">
      <alignment horizontal="left" indent="2"/>
    </xf>
    <xf numFmtId="41" fontId="0" fillId="4" borderId="0" xfId="0" applyNumberFormat="1" applyFont="1" applyFill="1" applyBorder="1" applyAlignment="1">
      <alignment/>
    </xf>
    <xf numFmtId="41" fontId="0" fillId="4" borderId="12" xfId="20" applyFont="1" applyFill="1" applyBorder="1" applyAlignment="1">
      <alignment horizontal="left"/>
    </xf>
    <xf numFmtId="41" fontId="3" fillId="4" borderId="11" xfId="20" applyFont="1" applyFill="1" applyBorder="1" applyAlignment="1">
      <alignment horizontal="left" indent="1"/>
    </xf>
    <xf numFmtId="41" fontId="3" fillId="4" borderId="0" xfId="0" applyNumberFormat="1" applyFont="1" applyFill="1" applyBorder="1" applyAlignment="1">
      <alignment/>
    </xf>
    <xf numFmtId="41" fontId="3" fillId="4" borderId="12" xfId="0" applyNumberFormat="1" applyFont="1" applyFill="1" applyBorder="1" applyAlignment="1">
      <alignment/>
    </xf>
    <xf numFmtId="41" fontId="3" fillId="4" borderId="11" xfId="20" applyFont="1" applyFill="1" applyBorder="1" applyAlignment="1">
      <alignment horizontal="left" indent="2"/>
    </xf>
    <xf numFmtId="0" fontId="0" fillId="4" borderId="30" xfId="0" applyFont="1" applyFill="1" applyBorder="1" applyAlignment="1">
      <alignment/>
    </xf>
    <xf numFmtId="0" fontId="0" fillId="4" borderId="31" xfId="0" applyFont="1" applyFill="1" applyBorder="1" applyAlignment="1">
      <alignment/>
    </xf>
    <xf numFmtId="41" fontId="0" fillId="4" borderId="31" xfId="20" applyFont="1" applyFill="1" applyBorder="1" applyAlignment="1">
      <alignment horizontal="left"/>
    </xf>
    <xf numFmtId="41" fontId="0" fillId="4" borderId="31" xfId="20" applyFont="1" applyFill="1" applyBorder="1" applyAlignment="1">
      <alignment/>
    </xf>
    <xf numFmtId="41" fontId="0" fillId="4" borderId="32" xfId="20" applyFont="1" applyFill="1" applyBorder="1" applyAlignment="1">
      <alignment/>
    </xf>
    <xf numFmtId="0" fontId="3" fillId="4" borderId="11" xfId="0" applyFont="1" applyFill="1" applyBorder="1" applyAlignment="1">
      <alignment horizontal="left" indent="1"/>
    </xf>
    <xf numFmtId="0" fontId="0" fillId="4" borderId="11" xfId="0" applyFont="1" applyFill="1" applyBorder="1" applyAlignment="1">
      <alignment horizontal="left" indent="3"/>
    </xf>
    <xf numFmtId="171" fontId="0" fillId="4" borderId="0" xfId="20" applyNumberFormat="1" applyFont="1" applyFill="1" applyBorder="1" applyAlignment="1">
      <alignment horizontal="left"/>
    </xf>
    <xf numFmtId="171" fontId="0" fillId="4" borderId="12" xfId="20" applyNumberFormat="1" applyFont="1" applyFill="1" applyBorder="1" applyAlignment="1">
      <alignment horizontal="left"/>
    </xf>
    <xf numFmtId="41" fontId="0" fillId="4" borderId="12" xfId="0" applyNumberFormat="1" applyFont="1" applyFill="1" applyBorder="1" applyAlignment="1">
      <alignment/>
    </xf>
    <xf numFmtId="0" fontId="3" fillId="4" borderId="13" xfId="0" applyFont="1" applyFill="1" applyBorder="1" applyAlignment="1">
      <alignment/>
    </xf>
    <xf numFmtId="41" fontId="3" fillId="4" borderId="15" xfId="0" applyNumberFormat="1" applyFont="1" applyFill="1" applyBorder="1" applyAlignment="1">
      <alignment/>
    </xf>
    <xf numFmtId="41" fontId="3" fillId="4" borderId="14" xfId="0" applyNumberFormat="1" applyFont="1" applyFill="1" applyBorder="1" applyAlignment="1">
      <alignment/>
    </xf>
    <xf numFmtId="171" fontId="0" fillId="4" borderId="31" xfId="20" applyNumberFormat="1" applyFont="1" applyFill="1" applyBorder="1" applyAlignment="1">
      <alignment horizontal="left"/>
    </xf>
    <xf numFmtId="171" fontId="0" fillId="4" borderId="31" xfId="20" applyNumberFormat="1" applyFont="1" applyFill="1" applyBorder="1" applyAlignment="1">
      <alignment/>
    </xf>
    <xf numFmtId="171" fontId="0" fillId="4" borderId="32" xfId="20" applyNumberFormat="1" applyFont="1" applyFill="1" applyBorder="1" applyAlignment="1">
      <alignment/>
    </xf>
    <xf numFmtId="171" fontId="0" fillId="4" borderId="0" xfId="20" applyNumberFormat="1" applyFont="1" applyFill="1" applyBorder="1" applyAlignment="1">
      <alignment/>
    </xf>
    <xf numFmtId="171" fontId="0" fillId="4" borderId="12" xfId="20" applyNumberFormat="1" applyFont="1" applyFill="1" applyBorder="1" applyAlignment="1">
      <alignment/>
    </xf>
    <xf numFmtId="0" fontId="3" fillId="4" borderId="11" xfId="0" applyFont="1" applyFill="1" applyBorder="1" applyAlignment="1">
      <alignment horizontal="left" indent="2"/>
    </xf>
    <xf numFmtId="0" fontId="0" fillId="4" borderId="11" xfId="0" applyFont="1" applyFill="1" applyBorder="1" applyAlignment="1">
      <alignment horizontal="left" indent="4"/>
    </xf>
    <xf numFmtId="0" fontId="0" fillId="4" borderId="11" xfId="0" applyFill="1" applyBorder="1" applyAlignment="1">
      <alignment horizontal="left" indent="4"/>
    </xf>
    <xf numFmtId="41" fontId="0" fillId="4" borderId="0" xfId="0" applyNumberFormat="1" applyFill="1" applyBorder="1" applyAlignment="1">
      <alignment/>
    </xf>
    <xf numFmtId="41" fontId="0" fillId="4" borderId="12" xfId="0" applyNumberFormat="1" applyFill="1" applyBorder="1" applyAlignment="1">
      <alignment/>
    </xf>
    <xf numFmtId="0" fontId="0" fillId="4" borderId="11" xfId="0" applyFill="1" applyBorder="1" applyAlignment="1">
      <alignment horizontal="left" indent="2"/>
    </xf>
    <xf numFmtId="0" fontId="0" fillId="4" borderId="13" xfId="0" applyFill="1" applyBorder="1" applyAlignment="1">
      <alignment/>
    </xf>
    <xf numFmtId="41" fontId="0" fillId="4" borderId="15" xfId="0" applyNumberFormat="1" applyFill="1" applyBorder="1" applyAlignment="1">
      <alignment/>
    </xf>
    <xf numFmtId="41" fontId="0" fillId="4" borderId="14" xfId="0" applyNumberFormat="1" applyFill="1" applyBorder="1" applyAlignment="1">
      <alignment/>
    </xf>
    <xf numFmtId="171" fontId="0" fillId="0" borderId="0" xfId="20" applyNumberFormat="1" applyFont="1" applyFill="1" applyAlignment="1">
      <alignment/>
    </xf>
    <xf numFmtId="0" fontId="0" fillId="0" borderId="0" xfId="0" applyFont="1" applyFill="1" applyAlignment="1">
      <alignment/>
    </xf>
    <xf numFmtId="0" fontId="0" fillId="0" borderId="0" xfId="0" applyFill="1" applyAlignment="1">
      <alignment/>
    </xf>
    <xf numFmtId="0" fontId="3" fillId="0" borderId="0" xfId="0" applyNumberFormat="1" applyFont="1" applyFill="1" applyBorder="1" applyAlignment="1" applyProtection="1">
      <alignment horizontal="center" wrapText="1"/>
      <protection/>
    </xf>
    <xf numFmtId="41" fontId="0" fillId="2" borderId="0" xfId="0" applyNumberFormat="1" applyFill="1" applyAlignment="1">
      <alignment/>
    </xf>
    <xf numFmtId="165" fontId="0" fillId="2" borderId="0" xfId="0" applyNumberFormat="1" applyFill="1" applyAlignment="1">
      <alignment/>
    </xf>
    <xf numFmtId="0" fontId="25" fillId="2" borderId="0" xfId="0" applyFont="1" applyFill="1" applyBorder="1" applyAlignment="1">
      <alignment/>
    </xf>
    <xf numFmtId="9" fontId="0" fillId="2" borderId="0" xfId="20" applyNumberFormat="1" applyFont="1" applyFill="1" applyBorder="1" applyAlignment="1" applyProtection="1">
      <alignment/>
      <protection/>
    </xf>
    <xf numFmtId="9" fontId="0" fillId="3" borderId="54" xfId="0" applyNumberFormat="1" applyFill="1" applyBorder="1" applyAlignment="1" applyProtection="1">
      <alignment/>
      <protection/>
    </xf>
    <xf numFmtId="9" fontId="0" fillId="4" borderId="24" xfId="0" applyNumberFormat="1" applyFill="1" applyBorder="1" applyAlignment="1" applyProtection="1">
      <alignment/>
      <protection/>
    </xf>
    <xf numFmtId="1" fontId="0" fillId="9" borderId="56" xfId="0" applyNumberFormat="1" applyFill="1" applyBorder="1" applyAlignment="1" applyProtection="1">
      <alignment/>
      <protection/>
    </xf>
    <xf numFmtId="0" fontId="0" fillId="3" borderId="86" xfId="0" applyFill="1" applyBorder="1" applyAlignment="1" applyProtection="1">
      <alignment horizontal="left"/>
      <protection/>
    </xf>
    <xf numFmtId="0" fontId="0" fillId="3" borderId="75" xfId="0" applyFill="1" applyBorder="1" applyAlignment="1" applyProtection="1">
      <alignment horizontal="left"/>
      <protection/>
    </xf>
    <xf numFmtId="0" fontId="0" fillId="3" borderId="75" xfId="0" applyFill="1" applyBorder="1" applyAlignment="1" applyProtection="1">
      <alignment/>
      <protection/>
    </xf>
    <xf numFmtId="0" fontId="0" fillId="3" borderId="75" xfId="0" applyFill="1" applyBorder="1" applyAlignment="1" applyProtection="1">
      <alignment horizontal="left" vertical="top"/>
      <protection/>
    </xf>
    <xf numFmtId="0" fontId="0" fillId="3" borderId="77" xfId="0" applyFill="1" applyBorder="1" applyAlignment="1" applyProtection="1">
      <alignment/>
      <protection/>
    </xf>
    <xf numFmtId="0" fontId="3" fillId="0" borderId="0" xfId="0" applyFont="1" applyAlignment="1">
      <alignment/>
    </xf>
    <xf numFmtId="0" fontId="3" fillId="4" borderId="24" xfId="0" applyFont="1" applyFill="1" applyBorder="1" applyAlignment="1">
      <alignment/>
    </xf>
    <xf numFmtId="0" fontId="3" fillId="0" borderId="87" xfId="0" applyFont="1" applyFill="1" applyBorder="1" applyAlignment="1">
      <alignment horizontal="centerContinuous" vertical="center"/>
    </xf>
    <xf numFmtId="0" fontId="3" fillId="0" borderId="82" xfId="0" applyFont="1" applyFill="1" applyBorder="1" applyAlignment="1">
      <alignment horizontal="centerContinuous" vertical="center"/>
    </xf>
    <xf numFmtId="0" fontId="3" fillId="9" borderId="26" xfId="0" applyFont="1" applyFill="1" applyBorder="1" applyAlignment="1">
      <alignment horizontal="center" vertical="center"/>
    </xf>
    <xf numFmtId="0" fontId="3" fillId="9" borderId="27" xfId="0" applyFont="1" applyFill="1" applyBorder="1" applyAlignment="1">
      <alignment horizontal="center" vertical="center"/>
    </xf>
    <xf numFmtId="0" fontId="3" fillId="9" borderId="29" xfId="0" applyFont="1" applyFill="1" applyBorder="1" applyAlignment="1">
      <alignment horizontal="center" vertical="center"/>
    </xf>
    <xf numFmtId="0" fontId="0" fillId="9" borderId="11" xfId="0" applyFont="1" applyFill="1" applyBorder="1" applyAlignment="1">
      <alignment/>
    </xf>
    <xf numFmtId="41" fontId="0" fillId="9" borderId="0" xfId="20" applyFont="1" applyFill="1" applyBorder="1" applyAlignment="1" applyProtection="1">
      <alignment horizontal="right" vertical="center"/>
      <protection/>
    </xf>
    <xf numFmtId="0" fontId="0" fillId="9" borderId="12" xfId="0" applyFont="1" applyFill="1" applyBorder="1" applyAlignment="1">
      <alignment horizontal="center" vertical="center"/>
    </xf>
    <xf numFmtId="187" fontId="0" fillId="9" borderId="0" xfId="20" applyNumberFormat="1" applyFont="1" applyFill="1" applyBorder="1" applyAlignment="1" applyProtection="1">
      <alignment horizontal="right" vertical="center"/>
      <protection/>
    </xf>
    <xf numFmtId="0" fontId="0" fillId="9" borderId="12" xfId="0" applyFont="1" applyFill="1" applyBorder="1" applyAlignment="1">
      <alignment horizontal="left" vertical="center"/>
    </xf>
    <xf numFmtId="0" fontId="0" fillId="9" borderId="13" xfId="0" applyFont="1" applyFill="1" applyBorder="1" applyAlignment="1">
      <alignment/>
    </xf>
    <xf numFmtId="0" fontId="0" fillId="9" borderId="14" xfId="0" applyFont="1" applyFill="1" applyBorder="1" applyAlignment="1">
      <alignment horizontal="left" vertical="center"/>
    </xf>
    <xf numFmtId="172" fontId="0" fillId="9" borderId="0" xfId="19" applyNumberFormat="1" applyFont="1" applyFill="1" applyBorder="1" applyAlignment="1" applyProtection="1">
      <alignment horizontal="right" vertical="center"/>
      <protection/>
    </xf>
    <xf numFmtId="172" fontId="0" fillId="9" borderId="15" xfId="19" applyNumberFormat="1" applyFont="1" applyFill="1" applyBorder="1" applyAlignment="1" applyProtection="1">
      <alignment horizontal="right" vertical="center"/>
      <protection/>
    </xf>
    <xf numFmtId="41" fontId="0" fillId="0" borderId="0" xfId="20" applyAlignment="1">
      <alignment/>
    </xf>
    <xf numFmtId="41" fontId="0" fillId="0" borderId="0" xfId="20" applyFont="1" applyAlignment="1">
      <alignment horizontal="right"/>
    </xf>
    <xf numFmtId="41" fontId="0" fillId="0" borderId="0" xfId="20" applyFont="1" applyAlignment="1">
      <alignment/>
    </xf>
    <xf numFmtId="0" fontId="0" fillId="3" borderId="50" xfId="0" applyFill="1" applyBorder="1" applyAlignment="1" applyProtection="1">
      <alignment/>
      <protection locked="0"/>
    </xf>
    <xf numFmtId="0" fontId="1" fillId="3" borderId="24" xfId="0" applyFont="1" applyFill="1" applyBorder="1" applyAlignment="1">
      <alignment/>
    </xf>
    <xf numFmtId="0" fontId="0" fillId="3" borderId="0" xfId="0" applyFont="1" applyFill="1" applyBorder="1" applyAlignment="1">
      <alignment/>
    </xf>
    <xf numFmtId="0" fontId="0" fillId="3" borderId="25" xfId="0" applyFont="1" applyFill="1" applyBorder="1" applyAlignment="1">
      <alignment/>
    </xf>
    <xf numFmtId="164" fontId="0" fillId="3" borderId="24" xfId="0" applyNumberFormat="1" applyFont="1" applyFill="1" applyBorder="1" applyAlignment="1">
      <alignment horizontal="left"/>
    </xf>
    <xf numFmtId="164" fontId="0" fillId="3" borderId="25" xfId="0" applyNumberFormat="1" applyFont="1" applyFill="1" applyBorder="1" applyAlignment="1" applyProtection="1">
      <alignment/>
      <protection/>
    </xf>
    <xf numFmtId="164" fontId="3" fillId="3" borderId="24" xfId="0" applyNumberFormat="1" applyFont="1" applyFill="1" applyBorder="1" applyAlignment="1">
      <alignment horizontal="left"/>
    </xf>
    <xf numFmtId="41" fontId="0" fillId="3" borderId="88" xfId="20" applyFont="1" applyFill="1" applyBorder="1" applyAlignment="1" applyProtection="1">
      <alignment/>
      <protection/>
    </xf>
    <xf numFmtId="172" fontId="0" fillId="3" borderId="25" xfId="19" applyNumberFormat="1" applyFont="1" applyFill="1" applyBorder="1" applyAlignment="1" applyProtection="1">
      <alignment horizontal="center"/>
      <protection/>
    </xf>
    <xf numFmtId="41" fontId="0" fillId="3" borderId="89" xfId="20" applyNumberFormat="1" applyFont="1" applyFill="1" applyBorder="1" applyAlignment="1" applyProtection="1">
      <alignment/>
      <protection/>
    </xf>
    <xf numFmtId="164" fontId="3" fillId="3" borderId="24" xfId="0" applyNumberFormat="1" applyFont="1" applyFill="1" applyBorder="1" applyAlignment="1">
      <alignment horizontal="right"/>
    </xf>
    <xf numFmtId="164" fontId="3" fillId="3" borderId="90" xfId="0" applyNumberFormat="1" applyFont="1" applyFill="1" applyBorder="1" applyAlignment="1">
      <alignment horizontal="right"/>
    </xf>
    <xf numFmtId="172" fontId="0" fillId="3" borderId="91" xfId="19" applyNumberFormat="1" applyFont="1" applyFill="1" applyBorder="1" applyAlignment="1" applyProtection="1">
      <alignment horizontal="center"/>
      <protection/>
    </xf>
    <xf numFmtId="41" fontId="0" fillId="6" borderId="92" xfId="20" applyFill="1" applyBorder="1" applyAlignment="1" applyProtection="1">
      <alignment/>
      <protection locked="0"/>
    </xf>
    <xf numFmtId="43" fontId="0" fillId="6" borderId="92" xfId="0" applyNumberFormat="1" applyFill="1" applyBorder="1" applyAlignment="1" applyProtection="1">
      <alignment/>
      <protection locked="0"/>
    </xf>
    <xf numFmtId="9" fontId="0" fillId="6" borderId="93" xfId="19" applyFill="1" applyBorder="1" applyAlignment="1" applyProtection="1">
      <alignment/>
      <protection locked="0"/>
    </xf>
    <xf numFmtId="0" fontId="1" fillId="10" borderId="94" xfId="0" applyFont="1" applyFill="1" applyBorder="1" applyAlignment="1" applyProtection="1">
      <alignment horizontal="left"/>
      <protection/>
    </xf>
    <xf numFmtId="0" fontId="0" fillId="10" borderId="95" xfId="0" applyFill="1" applyBorder="1" applyAlignment="1" applyProtection="1">
      <alignment/>
      <protection/>
    </xf>
    <xf numFmtId="9" fontId="0" fillId="10" borderId="94" xfId="0" applyNumberFormat="1" applyFill="1" applyBorder="1" applyAlignment="1" applyProtection="1">
      <alignment/>
      <protection/>
    </xf>
    <xf numFmtId="41" fontId="0" fillId="6" borderId="95" xfId="20" applyFill="1" applyBorder="1" applyAlignment="1" applyProtection="1">
      <alignment horizontal="center"/>
      <protection locked="0"/>
    </xf>
    <xf numFmtId="0" fontId="0" fillId="10" borderId="94" xfId="0" applyFill="1" applyBorder="1" applyAlignment="1" applyProtection="1">
      <alignment/>
      <protection/>
    </xf>
    <xf numFmtId="0" fontId="1" fillId="10" borderId="94" xfId="0" applyFont="1" applyFill="1" applyBorder="1" applyAlignment="1" applyProtection="1">
      <alignment/>
      <protection/>
    </xf>
    <xf numFmtId="41" fontId="1" fillId="10" borderId="95" xfId="20" applyFont="1" applyFill="1" applyBorder="1" applyAlignment="1" applyProtection="1">
      <alignment horizontal="center"/>
      <protection/>
    </xf>
    <xf numFmtId="0" fontId="0" fillId="10" borderId="94" xfId="0" applyFont="1" applyFill="1" applyBorder="1" applyAlignment="1" applyProtection="1">
      <alignment/>
      <protection/>
    </xf>
    <xf numFmtId="41" fontId="0" fillId="6" borderId="95" xfId="20" applyFont="1" applyFill="1" applyBorder="1" applyAlignment="1" applyProtection="1">
      <alignment horizontal="center"/>
      <protection locked="0"/>
    </xf>
    <xf numFmtId="0" fontId="0" fillId="10" borderId="94" xfId="0" applyFont="1" applyFill="1" applyBorder="1" applyAlignment="1" applyProtection="1">
      <alignment horizontal="left"/>
      <protection/>
    </xf>
    <xf numFmtId="41" fontId="3" fillId="10" borderId="95" xfId="20" applyFont="1" applyFill="1" applyBorder="1" applyAlignment="1" applyProtection="1">
      <alignment horizontal="center"/>
      <protection/>
    </xf>
    <xf numFmtId="0" fontId="0" fillId="10" borderId="94" xfId="0" applyFill="1" applyBorder="1" applyAlignment="1" applyProtection="1">
      <alignment horizontal="left"/>
      <protection/>
    </xf>
    <xf numFmtId="0" fontId="0" fillId="10" borderId="96" xfId="0" applyFill="1" applyBorder="1" applyAlignment="1" applyProtection="1">
      <alignment/>
      <protection/>
    </xf>
    <xf numFmtId="41" fontId="0" fillId="6" borderId="97" xfId="20" applyFill="1" applyBorder="1" applyAlignment="1" applyProtection="1">
      <alignment horizontal="center"/>
      <protection locked="0"/>
    </xf>
    <xf numFmtId="0" fontId="1" fillId="10" borderId="98" xfId="0" applyFont="1" applyFill="1" applyBorder="1" applyAlignment="1" applyProtection="1">
      <alignment horizontal="left" vertical="center"/>
      <protection/>
    </xf>
    <xf numFmtId="0" fontId="1" fillId="10" borderId="99" xfId="0" applyFont="1" applyFill="1" applyBorder="1" applyAlignment="1" applyProtection="1">
      <alignment horizontal="center" vertical="center" wrapText="1"/>
      <protection/>
    </xf>
    <xf numFmtId="41" fontId="0" fillId="10" borderId="100" xfId="20" applyFont="1" applyFill="1" applyBorder="1" applyAlignment="1" applyProtection="1">
      <alignment/>
      <protection/>
    </xf>
    <xf numFmtId="0" fontId="0" fillId="10" borderId="11" xfId="0" applyFont="1" applyFill="1" applyBorder="1" applyAlignment="1">
      <alignment horizontal="left" vertical="center"/>
    </xf>
    <xf numFmtId="41" fontId="0" fillId="10" borderId="0" xfId="20" applyFont="1" applyFill="1" applyBorder="1" applyAlignment="1" applyProtection="1">
      <alignment horizontal="right" vertical="center"/>
      <protection/>
    </xf>
    <xf numFmtId="0" fontId="0" fillId="10" borderId="12" xfId="0" applyFont="1" applyFill="1" applyBorder="1" applyAlignment="1">
      <alignment horizontal="center" vertical="center"/>
    </xf>
    <xf numFmtId="0" fontId="0" fillId="10" borderId="11" xfId="0" applyFill="1" applyBorder="1" applyAlignment="1">
      <alignment/>
    </xf>
    <xf numFmtId="170" fontId="0" fillId="10" borderId="0" xfId="0" applyNumberFormat="1" applyFill="1" applyBorder="1" applyAlignment="1" applyProtection="1">
      <alignment/>
      <protection/>
    </xf>
    <xf numFmtId="0" fontId="0" fillId="10" borderId="12" xfId="0" applyFill="1" applyBorder="1" applyAlignment="1">
      <alignment/>
    </xf>
    <xf numFmtId="41" fontId="0" fillId="10" borderId="0" xfId="20" applyFill="1" applyBorder="1" applyAlignment="1" applyProtection="1">
      <alignment/>
      <protection/>
    </xf>
    <xf numFmtId="172" fontId="0" fillId="10" borderId="0" xfId="0" applyNumberFormat="1" applyFill="1" applyBorder="1" applyAlignment="1" applyProtection="1">
      <alignment/>
      <protection/>
    </xf>
    <xf numFmtId="0" fontId="0" fillId="10" borderId="13" xfId="0" applyFill="1" applyBorder="1" applyAlignment="1">
      <alignment/>
    </xf>
    <xf numFmtId="0" fontId="0" fillId="10" borderId="14" xfId="0" applyFill="1" applyBorder="1" applyAlignment="1">
      <alignment/>
    </xf>
    <xf numFmtId="0" fontId="0" fillId="10" borderId="39" xfId="0" applyFill="1" applyBorder="1" applyAlignment="1">
      <alignment/>
    </xf>
    <xf numFmtId="43" fontId="0" fillId="10" borderId="39" xfId="0" applyNumberFormat="1" applyFill="1" applyBorder="1" applyAlignment="1">
      <alignment/>
    </xf>
    <xf numFmtId="43" fontId="0" fillId="10" borderId="19" xfId="0" applyNumberFormat="1" applyFill="1" applyBorder="1" applyAlignment="1">
      <alignment/>
    </xf>
    <xf numFmtId="43" fontId="0" fillId="10" borderId="20" xfId="0" applyNumberFormat="1" applyFill="1" applyBorder="1" applyAlignment="1">
      <alignment/>
    </xf>
    <xf numFmtId="0" fontId="0" fillId="10" borderId="37" xfId="0" applyFill="1" applyBorder="1" applyAlignment="1">
      <alignment/>
    </xf>
    <xf numFmtId="2" fontId="0" fillId="10" borderId="37" xfId="0" applyNumberFormat="1" applyFill="1" applyBorder="1" applyAlignment="1">
      <alignment/>
    </xf>
    <xf numFmtId="2" fontId="0" fillId="10" borderId="18" xfId="0" applyNumberFormat="1" applyFill="1" applyBorder="1" applyAlignment="1">
      <alignment/>
    </xf>
    <xf numFmtId="2" fontId="0" fillId="10" borderId="21" xfId="0" applyNumberFormat="1" applyFill="1" applyBorder="1" applyAlignment="1">
      <alignment/>
    </xf>
    <xf numFmtId="43" fontId="0" fillId="10" borderId="37" xfId="0" applyNumberFormat="1" applyFill="1" applyBorder="1" applyAlignment="1">
      <alignment/>
    </xf>
    <xf numFmtId="43" fontId="0" fillId="10" borderId="18" xfId="0" applyNumberFormat="1" applyFill="1" applyBorder="1" applyAlignment="1">
      <alignment/>
    </xf>
    <xf numFmtId="43" fontId="0" fillId="10" borderId="21" xfId="0" applyNumberFormat="1" applyFill="1" applyBorder="1" applyAlignment="1">
      <alignment/>
    </xf>
    <xf numFmtId="172" fontId="0" fillId="10" borderId="37" xfId="19" applyNumberFormat="1" applyFill="1" applyBorder="1" applyAlignment="1">
      <alignment/>
    </xf>
    <xf numFmtId="172" fontId="0" fillId="10" borderId="18" xfId="19" applyNumberFormat="1" applyFill="1" applyBorder="1" applyAlignment="1">
      <alignment/>
    </xf>
    <xf numFmtId="172" fontId="0" fillId="10" borderId="21" xfId="19" applyNumberFormat="1" applyFill="1" applyBorder="1" applyAlignment="1">
      <alignment/>
    </xf>
    <xf numFmtId="172" fontId="0" fillId="10" borderId="42" xfId="0" applyNumberFormat="1" applyFill="1" applyBorder="1" applyAlignment="1">
      <alignment/>
    </xf>
    <xf numFmtId="172" fontId="0" fillId="10" borderId="18" xfId="0" applyNumberFormat="1" applyFill="1" applyBorder="1" applyAlignment="1">
      <alignment/>
    </xf>
    <xf numFmtId="172" fontId="0" fillId="10" borderId="21" xfId="0" applyNumberFormat="1" applyFill="1" applyBorder="1" applyAlignment="1">
      <alignment/>
    </xf>
    <xf numFmtId="0" fontId="0" fillId="10" borderId="38" xfId="0" applyFill="1" applyBorder="1" applyAlignment="1">
      <alignment/>
    </xf>
    <xf numFmtId="41" fontId="0" fillId="10" borderId="38" xfId="0" applyNumberFormat="1" applyFill="1" applyBorder="1" applyAlignment="1">
      <alignment/>
    </xf>
    <xf numFmtId="41" fontId="0" fillId="10" borderId="22" xfId="0" applyNumberFormat="1" applyFill="1" applyBorder="1" applyAlignment="1">
      <alignment/>
    </xf>
    <xf numFmtId="41" fontId="0" fillId="10" borderId="23" xfId="0" applyNumberFormat="1" applyFill="1" applyBorder="1" applyAlignment="1">
      <alignment/>
    </xf>
    <xf numFmtId="0" fontId="3" fillId="10" borderId="26" xfId="0" applyFont="1" applyFill="1" applyBorder="1" applyAlignment="1">
      <alignment/>
    </xf>
    <xf numFmtId="0" fontId="0" fillId="10" borderId="27" xfId="0" applyFont="1" applyFill="1" applyBorder="1" applyAlignment="1">
      <alignment/>
    </xf>
    <xf numFmtId="165" fontId="4" fillId="10" borderId="27" xfId="0" applyNumberFormat="1" applyFont="1" applyFill="1" applyBorder="1" applyAlignment="1">
      <alignment/>
    </xf>
    <xf numFmtId="165" fontId="0" fillId="10" borderId="27" xfId="0" applyNumberFormat="1" applyFont="1" applyFill="1" applyBorder="1" applyAlignment="1">
      <alignment/>
    </xf>
    <xf numFmtId="0" fontId="1" fillId="10" borderId="27" xfId="0" applyFont="1" applyFill="1" applyBorder="1" applyAlignment="1">
      <alignment/>
    </xf>
    <xf numFmtId="0" fontId="0" fillId="10" borderId="29" xfId="0" applyFont="1" applyFill="1" applyBorder="1" applyAlignment="1">
      <alignment/>
    </xf>
    <xf numFmtId="0" fontId="0" fillId="10" borderId="11" xfId="0" applyFont="1" applyFill="1" applyBorder="1" applyAlignment="1">
      <alignment horizontal="center"/>
    </xf>
    <xf numFmtId="0" fontId="0" fillId="10" borderId="0" xfId="0" applyFont="1" applyFill="1" applyBorder="1" applyAlignment="1">
      <alignment horizontal="center"/>
    </xf>
    <xf numFmtId="0" fontId="0" fillId="10" borderId="0" xfId="0" applyFont="1" applyFill="1" applyBorder="1" applyAlignment="1">
      <alignment/>
    </xf>
    <xf numFmtId="0" fontId="0" fillId="10" borderId="12" xfId="0" applyFont="1" applyFill="1" applyBorder="1" applyAlignment="1">
      <alignment horizontal="center"/>
    </xf>
    <xf numFmtId="0" fontId="11" fillId="10" borderId="11" xfId="0" applyFont="1" applyFill="1" applyBorder="1" applyAlignment="1">
      <alignment/>
    </xf>
    <xf numFmtId="0" fontId="11" fillId="10" borderId="0" xfId="0" applyFont="1" applyFill="1" applyBorder="1" applyAlignment="1">
      <alignment/>
    </xf>
    <xf numFmtId="171" fontId="0" fillId="10" borderId="0" xfId="0" applyNumberFormat="1" applyFont="1" applyFill="1" applyBorder="1" applyAlignment="1">
      <alignment/>
    </xf>
    <xf numFmtId="0" fontId="0" fillId="10" borderId="12" xfId="0" applyFont="1" applyFill="1" applyBorder="1" applyAlignment="1">
      <alignment/>
    </xf>
    <xf numFmtId="0" fontId="3" fillId="10" borderId="11" xfId="0" applyFont="1" applyFill="1" applyBorder="1" applyAlignment="1">
      <alignment horizontal="left"/>
    </xf>
    <xf numFmtId="0" fontId="3" fillId="10" borderId="0" xfId="0" applyFont="1" applyFill="1" applyBorder="1" applyAlignment="1">
      <alignment horizontal="left"/>
    </xf>
    <xf numFmtId="0" fontId="2" fillId="10" borderId="0" xfId="0" applyFont="1" applyFill="1" applyBorder="1" applyAlignment="1">
      <alignment/>
    </xf>
    <xf numFmtId="0" fontId="0" fillId="10" borderId="11" xfId="0" applyFont="1" applyFill="1" applyBorder="1" applyAlignment="1">
      <alignment/>
    </xf>
    <xf numFmtId="41" fontId="6" fillId="10" borderId="0" xfId="20" applyFont="1" applyFill="1" applyBorder="1" applyAlignment="1">
      <alignment/>
    </xf>
    <xf numFmtId="41" fontId="0" fillId="10" borderId="12" xfId="20" applyFont="1" applyFill="1" applyBorder="1" applyAlignment="1">
      <alignment/>
    </xf>
    <xf numFmtId="0" fontId="0" fillId="10" borderId="11" xfId="0" applyFont="1" applyFill="1" applyBorder="1" applyAlignment="1">
      <alignment horizontal="left" indent="1"/>
    </xf>
    <xf numFmtId="41" fontId="0" fillId="10" borderId="0" xfId="20" applyFont="1" applyFill="1" applyBorder="1" applyAlignment="1">
      <alignment/>
    </xf>
    <xf numFmtId="187" fontId="0" fillId="10" borderId="0" xfId="20" applyNumberFormat="1" applyFont="1" applyFill="1" applyBorder="1" applyAlignment="1">
      <alignment/>
    </xf>
    <xf numFmtId="41" fontId="0" fillId="10" borderId="9" xfId="20" applyFont="1" applyFill="1" applyBorder="1" applyAlignment="1">
      <alignment/>
    </xf>
    <xf numFmtId="41" fontId="0" fillId="10" borderId="28" xfId="20" applyFont="1" applyFill="1" applyBorder="1" applyAlignment="1">
      <alignment/>
    </xf>
    <xf numFmtId="0" fontId="3" fillId="10" borderId="11" xfId="0" applyFont="1" applyFill="1" applyBorder="1" applyAlignment="1">
      <alignment horizontal="right"/>
    </xf>
    <xf numFmtId="0" fontId="3" fillId="10" borderId="0" xfId="0" applyFont="1" applyFill="1" applyBorder="1" applyAlignment="1">
      <alignment horizontal="right"/>
    </xf>
    <xf numFmtId="41" fontId="2" fillId="10" borderId="0" xfId="20" applyFont="1" applyFill="1" applyBorder="1" applyAlignment="1">
      <alignment/>
    </xf>
    <xf numFmtId="0" fontId="0" fillId="10" borderId="11" xfId="0" applyFont="1" applyFill="1" applyBorder="1" applyAlignment="1">
      <alignment horizontal="right"/>
    </xf>
    <xf numFmtId="0" fontId="0" fillId="10" borderId="0" xfId="0" applyFont="1" applyFill="1" applyBorder="1" applyAlignment="1">
      <alignment horizontal="right"/>
    </xf>
    <xf numFmtId="41" fontId="9" fillId="10" borderId="0" xfId="20" applyFont="1" applyFill="1" applyBorder="1" applyAlignment="1">
      <alignment/>
    </xf>
    <xf numFmtId="0" fontId="0" fillId="10" borderId="11" xfId="0" applyFont="1" applyFill="1" applyBorder="1" applyAlignment="1">
      <alignment horizontal="left"/>
    </xf>
    <xf numFmtId="0" fontId="0" fillId="10" borderId="0" xfId="0" applyFont="1" applyFill="1" applyBorder="1" applyAlignment="1">
      <alignment horizontal="left"/>
    </xf>
    <xf numFmtId="41" fontId="6" fillId="10" borderId="9" xfId="20" applyFont="1" applyFill="1" applyBorder="1" applyAlignment="1">
      <alignment/>
    </xf>
    <xf numFmtId="2" fontId="7" fillId="10" borderId="11" xfId="0" applyNumberFormat="1" applyFont="1" applyFill="1" applyBorder="1" applyAlignment="1">
      <alignment horizontal="left"/>
    </xf>
    <xf numFmtId="2" fontId="7" fillId="10" borderId="0" xfId="0" applyNumberFormat="1" applyFont="1" applyFill="1" applyBorder="1" applyAlignment="1">
      <alignment horizontal="left"/>
    </xf>
    <xf numFmtId="2" fontId="6" fillId="10" borderId="11" xfId="0" applyNumberFormat="1" applyFont="1" applyFill="1" applyBorder="1" applyAlignment="1">
      <alignment/>
    </xf>
    <xf numFmtId="2" fontId="6" fillId="10" borderId="0" xfId="0" applyNumberFormat="1" applyFont="1" applyFill="1" applyBorder="1" applyAlignment="1">
      <alignment/>
    </xf>
    <xf numFmtId="2" fontId="10" fillId="10" borderId="11" xfId="0" applyNumberFormat="1" applyFont="1" applyFill="1" applyBorder="1" applyAlignment="1">
      <alignment horizontal="left"/>
    </xf>
    <xf numFmtId="2" fontId="10" fillId="10" borderId="0" xfId="0" applyNumberFormat="1" applyFont="1" applyFill="1" applyBorder="1" applyAlignment="1">
      <alignment horizontal="left"/>
    </xf>
    <xf numFmtId="2" fontId="7" fillId="10" borderId="11" xfId="0" applyNumberFormat="1" applyFont="1" applyFill="1" applyBorder="1" applyAlignment="1">
      <alignment horizontal="right"/>
    </xf>
    <xf numFmtId="2" fontId="7" fillId="10" borderId="0" xfId="0" applyNumberFormat="1" applyFont="1" applyFill="1" applyBorder="1" applyAlignment="1">
      <alignment horizontal="right"/>
    </xf>
    <xf numFmtId="2" fontId="7" fillId="10" borderId="11" xfId="0" applyNumberFormat="1" applyFont="1" applyFill="1" applyBorder="1" applyAlignment="1">
      <alignment horizontal="center"/>
    </xf>
    <xf numFmtId="2" fontId="7" fillId="10" borderId="0" xfId="0" applyNumberFormat="1" applyFont="1" applyFill="1" applyBorder="1" applyAlignment="1">
      <alignment horizontal="center"/>
    </xf>
    <xf numFmtId="41" fontId="13" fillId="10" borderId="0" xfId="20" applyFont="1" applyFill="1" applyBorder="1" applyAlignment="1">
      <alignment horizontal="center"/>
    </xf>
    <xf numFmtId="2" fontId="6" fillId="10" borderId="11" xfId="0" applyNumberFormat="1" applyFont="1" applyFill="1" applyBorder="1" applyAlignment="1">
      <alignment horizontal="left"/>
    </xf>
    <xf numFmtId="2" fontId="6" fillId="10" borderId="0" xfId="0" applyNumberFormat="1" applyFont="1" applyFill="1" applyBorder="1" applyAlignment="1">
      <alignment horizontal="left"/>
    </xf>
    <xf numFmtId="0" fontId="0" fillId="10" borderId="0" xfId="20" applyNumberFormat="1" applyFont="1" applyFill="1" applyBorder="1" applyAlignment="1">
      <alignment horizontal="center"/>
    </xf>
    <xf numFmtId="0" fontId="3" fillId="10" borderId="0" xfId="20" applyNumberFormat="1" applyFont="1" applyFill="1" applyBorder="1" applyAlignment="1">
      <alignment/>
    </xf>
    <xf numFmtId="0" fontId="0" fillId="10" borderId="0" xfId="20" applyNumberFormat="1" applyFont="1" applyFill="1" applyBorder="1" applyAlignment="1">
      <alignment/>
    </xf>
    <xf numFmtId="0" fontId="6" fillId="10" borderId="0" xfId="20" applyNumberFormat="1" applyFont="1" applyFill="1" applyBorder="1" applyAlignment="1">
      <alignment/>
    </xf>
    <xf numFmtId="172" fontId="3" fillId="10" borderId="0" xfId="19" applyNumberFormat="1" applyFont="1" applyFill="1" applyBorder="1" applyAlignment="1">
      <alignment/>
    </xf>
    <xf numFmtId="0" fontId="0" fillId="10" borderId="13" xfId="0" applyFont="1" applyFill="1" applyBorder="1" applyAlignment="1">
      <alignment horizontal="left"/>
    </xf>
    <xf numFmtId="0" fontId="0" fillId="10" borderId="15" xfId="0" applyFont="1" applyFill="1" applyBorder="1" applyAlignment="1">
      <alignment horizontal="left"/>
    </xf>
    <xf numFmtId="9" fontId="0" fillId="10" borderId="15" xfId="19" applyFont="1" applyFill="1" applyBorder="1" applyAlignment="1">
      <alignment horizontal="center"/>
    </xf>
    <xf numFmtId="41" fontId="3" fillId="10" borderId="15" xfId="20" applyFont="1" applyFill="1" applyBorder="1" applyAlignment="1">
      <alignment/>
    </xf>
    <xf numFmtId="41" fontId="0" fillId="10" borderId="15" xfId="20" applyFont="1" applyFill="1" applyBorder="1" applyAlignment="1">
      <alignment/>
    </xf>
    <xf numFmtId="41" fontId="6" fillId="10" borderId="14" xfId="20" applyFont="1" applyFill="1" applyBorder="1" applyAlignment="1">
      <alignment/>
    </xf>
    <xf numFmtId="0" fontId="3" fillId="10" borderId="27" xfId="0" applyFont="1" applyFill="1" applyBorder="1" applyAlignment="1">
      <alignment horizontal="center"/>
    </xf>
    <xf numFmtId="41" fontId="0" fillId="10" borderId="27" xfId="20" applyFont="1" applyFill="1" applyBorder="1" applyAlignment="1">
      <alignment/>
    </xf>
    <xf numFmtId="41" fontId="0" fillId="10" borderId="29" xfId="20" applyFont="1" applyFill="1" applyBorder="1" applyAlignment="1">
      <alignment/>
    </xf>
    <xf numFmtId="0" fontId="3" fillId="10" borderId="15" xfId="0" applyFont="1" applyFill="1" applyBorder="1" applyAlignment="1">
      <alignment horizontal="center"/>
    </xf>
    <xf numFmtId="165" fontId="3" fillId="10" borderId="15" xfId="20" applyNumberFormat="1" applyFont="1" applyFill="1" applyBorder="1" applyAlignment="1">
      <alignment horizontal="left"/>
    </xf>
    <xf numFmtId="41" fontId="0" fillId="10" borderId="15" xfId="20" applyFont="1" applyFill="1" applyBorder="1" applyAlignment="1">
      <alignment horizontal="center"/>
    </xf>
    <xf numFmtId="41" fontId="0" fillId="10" borderId="14" xfId="20" applyFont="1" applyFill="1" applyBorder="1" applyAlignment="1">
      <alignment horizontal="center"/>
    </xf>
    <xf numFmtId="0" fontId="3" fillId="10" borderId="11" xfId="0" applyFont="1" applyFill="1" applyBorder="1" applyAlignment="1">
      <alignment/>
    </xf>
    <xf numFmtId="0" fontId="19" fillId="10" borderId="0" xfId="0" applyFont="1" applyFill="1" applyBorder="1" applyAlignment="1">
      <alignment/>
    </xf>
    <xf numFmtId="41" fontId="0" fillId="10" borderId="0" xfId="20" applyFont="1" applyFill="1" applyBorder="1" applyAlignment="1">
      <alignment horizontal="left"/>
    </xf>
    <xf numFmtId="41" fontId="0" fillId="10" borderId="11" xfId="20" applyFont="1" applyFill="1" applyBorder="1" applyAlignment="1">
      <alignment horizontal="left" indent="2"/>
    </xf>
    <xf numFmtId="41" fontId="0" fillId="10" borderId="0" xfId="0" applyNumberFormat="1" applyFont="1" applyFill="1" applyBorder="1" applyAlignment="1">
      <alignment/>
    </xf>
    <xf numFmtId="41" fontId="0" fillId="10" borderId="12" xfId="20" applyFont="1" applyFill="1" applyBorder="1" applyAlignment="1">
      <alignment horizontal="left"/>
    </xf>
    <xf numFmtId="41" fontId="3" fillId="10" borderId="11" xfId="20" applyFont="1" applyFill="1" applyBorder="1" applyAlignment="1">
      <alignment horizontal="left" indent="1"/>
    </xf>
    <xf numFmtId="41" fontId="3" fillId="10" borderId="0" xfId="0" applyNumberFormat="1" applyFont="1" applyFill="1" applyBorder="1" applyAlignment="1">
      <alignment/>
    </xf>
    <xf numFmtId="41" fontId="3" fillId="10" borderId="12" xfId="0" applyNumberFormat="1" applyFont="1" applyFill="1" applyBorder="1" applyAlignment="1">
      <alignment/>
    </xf>
    <xf numFmtId="41" fontId="3" fillId="10" borderId="11" xfId="20" applyFont="1" applyFill="1" applyBorder="1" applyAlignment="1">
      <alignment horizontal="left" indent="2"/>
    </xf>
    <xf numFmtId="0" fontId="0" fillId="10" borderId="30" xfId="0" applyFont="1" applyFill="1" applyBorder="1" applyAlignment="1">
      <alignment/>
    </xf>
    <xf numFmtId="0" fontId="0" fillId="10" borderId="31" xfId="0" applyFont="1" applyFill="1" applyBorder="1" applyAlignment="1">
      <alignment/>
    </xf>
    <xf numFmtId="41" fontId="0" fillId="10" borderId="31" xfId="20" applyFont="1" applyFill="1" applyBorder="1" applyAlignment="1">
      <alignment horizontal="left"/>
    </xf>
    <xf numFmtId="41" fontId="0" fillId="10" borderId="31" xfId="20" applyFont="1" applyFill="1" applyBorder="1" applyAlignment="1">
      <alignment/>
    </xf>
    <xf numFmtId="41" fontId="0" fillId="10" borderId="32" xfId="20" applyFont="1" applyFill="1" applyBorder="1" applyAlignment="1">
      <alignment/>
    </xf>
    <xf numFmtId="0" fontId="3" fillId="10" borderId="11" xfId="0" applyFont="1" applyFill="1" applyBorder="1" applyAlignment="1">
      <alignment horizontal="left" indent="1"/>
    </xf>
    <xf numFmtId="0" fontId="0" fillId="10" borderId="11" xfId="0" applyFont="1" applyFill="1" applyBorder="1" applyAlignment="1">
      <alignment horizontal="left" indent="3"/>
    </xf>
    <xf numFmtId="171" fontId="0" fillId="10" borderId="0" xfId="20" applyNumberFormat="1" applyFont="1" applyFill="1" applyBorder="1" applyAlignment="1">
      <alignment horizontal="left"/>
    </xf>
    <xf numFmtId="171" fontId="0" fillId="10" borderId="12" xfId="20" applyNumberFormat="1" applyFont="1" applyFill="1" applyBorder="1" applyAlignment="1">
      <alignment horizontal="left"/>
    </xf>
    <xf numFmtId="41" fontId="0" fillId="10" borderId="12" xfId="0" applyNumberFormat="1" applyFont="1" applyFill="1" applyBorder="1" applyAlignment="1">
      <alignment/>
    </xf>
    <xf numFmtId="0" fontId="3" fillId="10" borderId="13" xfId="0" applyFont="1" applyFill="1" applyBorder="1" applyAlignment="1">
      <alignment/>
    </xf>
    <xf numFmtId="41" fontId="3" fillId="10" borderId="15" xfId="0" applyNumberFormat="1" applyFont="1" applyFill="1" applyBorder="1" applyAlignment="1">
      <alignment/>
    </xf>
    <xf numFmtId="41" fontId="3" fillId="10" borderId="14" xfId="0" applyNumberFormat="1" applyFont="1" applyFill="1" applyBorder="1" applyAlignment="1">
      <alignment/>
    </xf>
    <xf numFmtId="171" fontId="0" fillId="10" borderId="31" xfId="20" applyNumberFormat="1" applyFont="1" applyFill="1" applyBorder="1" applyAlignment="1">
      <alignment horizontal="left"/>
    </xf>
    <xf numFmtId="171" fontId="0" fillId="10" borderId="31" xfId="20" applyNumberFormat="1" applyFont="1" applyFill="1" applyBorder="1" applyAlignment="1">
      <alignment/>
    </xf>
    <xf numFmtId="171" fontId="0" fillId="10" borderId="32" xfId="20" applyNumberFormat="1" applyFont="1" applyFill="1" applyBorder="1" applyAlignment="1">
      <alignment/>
    </xf>
    <xf numFmtId="171" fontId="0" fillId="10" borderId="0" xfId="20" applyNumberFormat="1" applyFont="1" applyFill="1" applyBorder="1" applyAlignment="1">
      <alignment/>
    </xf>
    <xf numFmtId="171" fontId="0" fillId="10" borderId="12" xfId="20" applyNumberFormat="1" applyFont="1" applyFill="1" applyBorder="1" applyAlignment="1">
      <alignment/>
    </xf>
    <xf numFmtId="0" fontId="3" fillId="10" borderId="11" xfId="0" applyFont="1" applyFill="1" applyBorder="1" applyAlignment="1">
      <alignment horizontal="left" indent="2"/>
    </xf>
    <xf numFmtId="0" fontId="0" fillId="10" borderId="11" xfId="0" applyFont="1" applyFill="1" applyBorder="1" applyAlignment="1">
      <alignment horizontal="left" indent="4"/>
    </xf>
    <xf numFmtId="0" fontId="0" fillId="10" borderId="11" xfId="0" applyFill="1" applyBorder="1" applyAlignment="1">
      <alignment horizontal="left" indent="4"/>
    </xf>
    <xf numFmtId="41" fontId="0" fillId="10" borderId="0" xfId="0" applyNumberFormat="1" applyFill="1" applyBorder="1" applyAlignment="1">
      <alignment/>
    </xf>
    <xf numFmtId="41" fontId="0" fillId="10" borderId="12" xfId="0" applyNumberFormat="1" applyFill="1" applyBorder="1" applyAlignment="1">
      <alignment/>
    </xf>
    <xf numFmtId="0" fontId="0" fillId="10" borderId="11" xfId="0" applyFill="1" applyBorder="1" applyAlignment="1">
      <alignment horizontal="left" indent="2"/>
    </xf>
    <xf numFmtId="41" fontId="0" fillId="10" borderId="15" xfId="0" applyNumberFormat="1" applyFill="1" applyBorder="1" applyAlignment="1">
      <alignment/>
    </xf>
    <xf numFmtId="41" fontId="0" fillId="10" borderId="14" xfId="0" applyNumberFormat="1" applyFill="1" applyBorder="1" applyAlignment="1">
      <alignment/>
    </xf>
    <xf numFmtId="41" fontId="0" fillId="10" borderId="95" xfId="20" applyFill="1" applyBorder="1" applyAlignment="1" applyProtection="1">
      <alignment horizontal="center"/>
      <protection locked="0"/>
    </xf>
    <xf numFmtId="41" fontId="0" fillId="10" borderId="97" xfId="20" applyFill="1" applyBorder="1" applyAlignment="1" applyProtection="1">
      <alignment horizontal="center"/>
      <protection locked="0"/>
    </xf>
    <xf numFmtId="0" fontId="3" fillId="5" borderId="101" xfId="0" applyNumberFormat="1" applyFont="1" applyFill="1" applyBorder="1" applyAlignment="1" applyProtection="1">
      <alignment horizontal="left"/>
      <protection/>
    </xf>
    <xf numFmtId="41" fontId="0" fillId="5" borderId="100" xfId="20" applyFont="1" applyFill="1" applyBorder="1" applyAlignment="1" applyProtection="1">
      <alignment/>
      <protection/>
    </xf>
    <xf numFmtId="165" fontId="3" fillId="3" borderId="27" xfId="20" applyNumberFormat="1" applyFont="1" applyFill="1" applyBorder="1" applyAlignment="1">
      <alignment horizontal="center"/>
    </xf>
    <xf numFmtId="0" fontId="19" fillId="0" borderId="0" xfId="0" applyFont="1" applyAlignment="1">
      <alignment horizontal="center"/>
    </xf>
    <xf numFmtId="41" fontId="0" fillId="0" borderId="0" xfId="20" applyFont="1" applyBorder="1" applyAlignment="1">
      <alignment horizontal="center"/>
    </xf>
    <xf numFmtId="165" fontId="3" fillId="10" borderId="27" xfId="20" applyNumberFormat="1" applyFont="1" applyFill="1" applyBorder="1" applyAlignment="1">
      <alignment horizontal="center"/>
    </xf>
    <xf numFmtId="0" fontId="3" fillId="2" borderId="0" xfId="0" applyFont="1" applyFill="1" applyBorder="1" applyAlignment="1">
      <alignment horizontal="center" vertical="center"/>
    </xf>
    <xf numFmtId="0" fontId="0" fillId="10" borderId="24" xfId="0" applyFill="1" applyBorder="1" applyAlignment="1">
      <alignment/>
    </xf>
    <xf numFmtId="0" fontId="0" fillId="10" borderId="80" xfId="0" applyFill="1" applyBorder="1" applyAlignment="1">
      <alignment/>
    </xf>
    <xf numFmtId="0" fontId="0" fillId="10" borderId="70" xfId="0" applyFill="1" applyBorder="1" applyAlignment="1">
      <alignment/>
    </xf>
    <xf numFmtId="0" fontId="3" fillId="2" borderId="24" xfId="0" applyFont="1" applyFill="1" applyBorder="1" applyAlignment="1">
      <alignment horizontal="center" vertical="center"/>
    </xf>
    <xf numFmtId="41" fontId="0" fillId="10" borderId="0" xfId="20" applyFill="1" applyBorder="1" applyAlignment="1" applyProtection="1">
      <alignment horizontal="right"/>
      <protection/>
    </xf>
    <xf numFmtId="0" fontId="0" fillId="0" borderId="0" xfId="0" applyFill="1" applyBorder="1" applyAlignment="1" applyProtection="1">
      <alignment/>
      <protection locked="0"/>
    </xf>
    <xf numFmtId="41" fontId="0" fillId="0" borderId="0" xfId="20" applyFill="1" applyBorder="1" applyAlignment="1" applyProtection="1">
      <alignment/>
      <protection/>
    </xf>
    <xf numFmtId="0" fontId="0" fillId="10" borderId="26" xfId="0" applyFont="1" applyFill="1" applyBorder="1" applyAlignment="1">
      <alignment/>
    </xf>
    <xf numFmtId="41" fontId="0" fillId="10" borderId="27" xfId="20" applyFont="1" applyFill="1" applyBorder="1" applyAlignment="1" applyProtection="1">
      <alignment horizontal="right" vertical="center"/>
      <protection/>
    </xf>
    <xf numFmtId="0" fontId="0" fillId="10" borderId="29" xfId="0" applyFont="1" applyFill="1" applyBorder="1" applyAlignment="1">
      <alignment horizontal="left" vertical="center"/>
    </xf>
    <xf numFmtId="41" fontId="0" fillId="10" borderId="15" xfId="20" applyFill="1" applyBorder="1" applyAlignment="1" applyProtection="1">
      <alignment/>
      <protection/>
    </xf>
    <xf numFmtId="0" fontId="0" fillId="10" borderId="102" xfId="0" applyFill="1" applyBorder="1" applyAlignment="1" applyProtection="1">
      <alignment/>
      <protection/>
    </xf>
    <xf numFmtId="10" fontId="0" fillId="10" borderId="103" xfId="19" applyNumberFormat="1" applyFont="1" applyFill="1" applyBorder="1" applyAlignment="1" applyProtection="1">
      <alignment/>
      <protection locked="0"/>
    </xf>
    <xf numFmtId="0" fontId="0" fillId="10" borderId="102" xfId="0" applyFill="1" applyBorder="1" applyAlignment="1" applyProtection="1">
      <alignment horizontal="left"/>
      <protection/>
    </xf>
    <xf numFmtId="0" fontId="0" fillId="10" borderId="103" xfId="0" applyFill="1" applyBorder="1" applyAlignment="1">
      <alignment/>
    </xf>
    <xf numFmtId="0" fontId="0" fillId="10" borderId="104" xfId="0" applyFill="1" applyBorder="1" applyAlignment="1" applyProtection="1">
      <alignment/>
      <protection/>
    </xf>
    <xf numFmtId="0" fontId="0" fillId="10" borderId="24" xfId="0" applyFill="1" applyBorder="1" applyAlignment="1" applyProtection="1">
      <alignment/>
      <protection/>
    </xf>
    <xf numFmtId="10" fontId="0" fillId="10" borderId="105" xfId="19" applyNumberFormat="1" applyFont="1" applyFill="1" applyBorder="1" applyAlignment="1" applyProtection="1">
      <alignment/>
      <protection locked="0"/>
    </xf>
    <xf numFmtId="0" fontId="0" fillId="2" borderId="0" xfId="0" applyFont="1" applyFill="1" applyBorder="1" applyAlignment="1">
      <alignment horizontal="center" vertical="center"/>
    </xf>
    <xf numFmtId="0" fontId="0" fillId="3" borderId="24" xfId="0" applyFont="1" applyFill="1" applyBorder="1" applyAlignment="1">
      <alignment horizontal="left" vertical="center"/>
    </xf>
    <xf numFmtId="41" fontId="0" fillId="3" borderId="25" xfId="20" applyFont="1" applyFill="1" applyBorder="1" applyAlignment="1" applyProtection="1">
      <alignment horizontal="right" vertical="center"/>
      <protection/>
    </xf>
    <xf numFmtId="0" fontId="0" fillId="3" borderId="24" xfId="0" applyFill="1" applyBorder="1" applyAlignment="1">
      <alignment/>
    </xf>
    <xf numFmtId="187" fontId="0" fillId="3" borderId="25" xfId="20" applyNumberFormat="1" applyFont="1" applyFill="1" applyBorder="1" applyAlignment="1" applyProtection="1">
      <alignment horizontal="right" vertical="center"/>
      <protection/>
    </xf>
    <xf numFmtId="41" fontId="0" fillId="3" borderId="106" xfId="20" applyFont="1" applyFill="1" applyBorder="1" applyAlignment="1" applyProtection="1">
      <alignment horizontal="right" vertical="center"/>
      <protection/>
    </xf>
    <xf numFmtId="0" fontId="0" fillId="3" borderId="107" xfId="0" applyFill="1" applyBorder="1" applyAlignment="1">
      <alignment/>
    </xf>
    <xf numFmtId="0" fontId="0" fillId="3" borderId="108" xfId="0" applyFill="1" applyBorder="1" applyAlignment="1">
      <alignment/>
    </xf>
    <xf numFmtId="0" fontId="0" fillId="3" borderId="106" xfId="0" applyFill="1" applyBorder="1" applyAlignment="1" applyProtection="1">
      <alignment/>
      <protection locked="0"/>
    </xf>
    <xf numFmtId="0" fontId="0" fillId="3" borderId="80" xfId="0" applyFill="1" applyBorder="1" applyAlignment="1">
      <alignment/>
    </xf>
    <xf numFmtId="41" fontId="0" fillId="3" borderId="70" xfId="20" applyFont="1" applyFill="1" applyBorder="1" applyAlignment="1" applyProtection="1">
      <alignment horizontal="right" vertical="center"/>
      <protection/>
    </xf>
    <xf numFmtId="41" fontId="0" fillId="4" borderId="25" xfId="20" applyFill="1" applyBorder="1" applyAlignment="1" applyProtection="1">
      <alignment/>
      <protection/>
    </xf>
    <xf numFmtId="0" fontId="0" fillId="4" borderId="25" xfId="0" applyNumberFormat="1" applyFill="1" applyBorder="1" applyAlignment="1" applyProtection="1">
      <alignment/>
      <protection/>
    </xf>
    <xf numFmtId="0" fontId="0" fillId="9" borderId="24" xfId="0" applyFont="1" applyFill="1" applyBorder="1" applyAlignment="1">
      <alignment/>
    </xf>
    <xf numFmtId="41" fontId="0" fillId="9" borderId="25" xfId="20" applyFont="1" applyFill="1" applyBorder="1" applyAlignment="1" applyProtection="1">
      <alignment horizontal="right" vertical="center"/>
      <protection/>
    </xf>
    <xf numFmtId="187" fontId="0" fillId="9" borderId="25" xfId="20" applyNumberFormat="1" applyFont="1" applyFill="1" applyBorder="1" applyAlignment="1" applyProtection="1">
      <alignment horizontal="right" vertical="center"/>
      <protection/>
    </xf>
    <xf numFmtId="172" fontId="0" fillId="9" borderId="25" xfId="19" applyNumberFormat="1" applyFont="1" applyFill="1" applyBorder="1" applyAlignment="1" applyProtection="1">
      <alignment horizontal="right" vertical="center"/>
      <protection/>
    </xf>
    <xf numFmtId="0" fontId="0" fillId="9" borderId="80" xfId="0" applyFont="1" applyFill="1" applyBorder="1" applyAlignment="1">
      <alignment/>
    </xf>
    <xf numFmtId="172" fontId="0" fillId="9" borderId="70" xfId="19" applyNumberFormat="1" applyFont="1" applyFill="1" applyBorder="1" applyAlignment="1" applyProtection="1">
      <alignment horizontal="right" vertical="center"/>
      <protection/>
    </xf>
    <xf numFmtId="0" fontId="0" fillId="10" borderId="24" xfId="0" applyFont="1" applyFill="1" applyBorder="1" applyAlignment="1">
      <alignment horizontal="left" vertical="center"/>
    </xf>
    <xf numFmtId="41" fontId="0" fillId="10" borderId="25" xfId="20" applyFont="1" applyFill="1" applyBorder="1" applyAlignment="1" applyProtection="1">
      <alignment horizontal="right" vertical="center"/>
      <protection/>
    </xf>
    <xf numFmtId="170" fontId="0" fillId="10" borderId="25" xfId="0" applyNumberFormat="1" applyFill="1" applyBorder="1" applyAlignment="1" applyProtection="1">
      <alignment/>
      <protection/>
    </xf>
    <xf numFmtId="41" fontId="0" fillId="10" borderId="25" xfId="20" applyFill="1" applyBorder="1" applyAlignment="1" applyProtection="1">
      <alignment/>
      <protection/>
    </xf>
    <xf numFmtId="172" fontId="0" fillId="10" borderId="25" xfId="0" applyNumberFormat="1" applyFill="1" applyBorder="1" applyAlignment="1" applyProtection="1">
      <alignment/>
      <protection/>
    </xf>
    <xf numFmtId="41" fontId="0" fillId="10" borderId="25" xfId="20" applyFill="1" applyBorder="1" applyAlignment="1" applyProtection="1">
      <alignment horizontal="right"/>
      <protection/>
    </xf>
    <xf numFmtId="41" fontId="0" fillId="10" borderId="70" xfId="20" applyFill="1" applyBorder="1" applyAlignment="1" applyProtection="1">
      <alignment/>
      <protection/>
    </xf>
    <xf numFmtId="9" fontId="0" fillId="3" borderId="25" xfId="19" applyFont="1" applyFill="1" applyBorder="1" applyAlignment="1" applyProtection="1">
      <alignment horizontal="right" vertical="center"/>
      <protection/>
    </xf>
    <xf numFmtId="0" fontId="0" fillId="10" borderId="24" xfId="0" applyFont="1" applyFill="1" applyBorder="1" applyAlignment="1">
      <alignment/>
    </xf>
    <xf numFmtId="0" fontId="25" fillId="5" borderId="0" xfId="0" applyFont="1" applyFill="1" applyBorder="1" applyAlignment="1">
      <alignment horizontal="center"/>
    </xf>
    <xf numFmtId="0" fontId="0" fillId="9" borderId="0" xfId="0" applyFill="1" applyBorder="1" applyAlignment="1">
      <alignment/>
    </xf>
    <xf numFmtId="0" fontId="0" fillId="9" borderId="0" xfId="0" applyFill="1" applyBorder="1" applyAlignment="1">
      <alignment horizontal="center"/>
    </xf>
    <xf numFmtId="172" fontId="0" fillId="9" borderId="0" xfId="19" applyNumberFormat="1" applyFill="1" applyBorder="1" applyAlignment="1" applyProtection="1">
      <alignment/>
      <protection locked="0"/>
    </xf>
    <xf numFmtId="0" fontId="0" fillId="3" borderId="0" xfId="0" applyFill="1" applyBorder="1" applyAlignment="1">
      <alignment horizontal="center" vertical="center"/>
    </xf>
    <xf numFmtId="172" fontId="0" fillId="3" borderId="0" xfId="19" applyNumberFormat="1" applyFill="1" applyBorder="1" applyAlignment="1" applyProtection="1">
      <alignment/>
      <protection locked="0"/>
    </xf>
    <xf numFmtId="172" fontId="0" fillId="3" borderId="0" xfId="19" applyNumberFormat="1" applyFill="1" applyBorder="1" applyAlignment="1">
      <alignment/>
    </xf>
    <xf numFmtId="0" fontId="3" fillId="5" borderId="109" xfId="0" applyNumberFormat="1" applyFont="1" applyFill="1" applyBorder="1" applyAlignment="1" applyProtection="1">
      <alignment horizontal="left"/>
      <protection/>
    </xf>
    <xf numFmtId="41" fontId="0" fillId="5" borderId="82" xfId="20" applyFont="1" applyFill="1" applyBorder="1" applyAlignment="1" applyProtection="1">
      <alignment/>
      <protection/>
    </xf>
    <xf numFmtId="0" fontId="3" fillId="5" borderId="87" xfId="0" applyFont="1" applyFill="1" applyBorder="1" applyAlignment="1" applyProtection="1">
      <alignment horizontal="left"/>
      <protection/>
    </xf>
    <xf numFmtId="0" fontId="0" fillId="5" borderId="82" xfId="0" applyFont="1" applyFill="1" applyBorder="1" applyAlignment="1" applyProtection="1">
      <alignment horizontal="left"/>
      <protection/>
    </xf>
    <xf numFmtId="0" fontId="3" fillId="5" borderId="10" xfId="0" applyNumberFormat="1" applyFont="1" applyFill="1" applyBorder="1" applyAlignment="1" applyProtection="1">
      <alignment horizontal="left"/>
      <protection/>
    </xf>
    <xf numFmtId="41" fontId="3" fillId="5" borderId="82" xfId="20" applyFont="1" applyFill="1" applyBorder="1" applyAlignment="1" applyProtection="1">
      <alignment/>
      <protection/>
    </xf>
    <xf numFmtId="0" fontId="0" fillId="3" borderId="50" xfId="0" applyFill="1" applyBorder="1" applyAlignment="1" applyProtection="1">
      <alignment horizontal="center"/>
      <protection locked="0"/>
    </xf>
    <xf numFmtId="0" fontId="0" fillId="10" borderId="0" xfId="0" applyFill="1" applyAlignment="1">
      <alignment/>
    </xf>
    <xf numFmtId="41" fontId="0" fillId="0" borderId="0" xfId="20" applyFont="1" applyFill="1" applyBorder="1" applyAlignment="1" applyProtection="1">
      <alignment horizontal="right" vertical="center"/>
      <protection/>
    </xf>
    <xf numFmtId="187" fontId="0" fillId="0" borderId="0" xfId="2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Alignment="1">
      <alignment/>
    </xf>
    <xf numFmtId="0" fontId="0" fillId="10" borderId="26" xfId="0" applyFill="1" applyBorder="1" applyAlignment="1">
      <alignment/>
    </xf>
    <xf numFmtId="43" fontId="0" fillId="10" borderId="83" xfId="0" applyNumberFormat="1" applyFill="1" applyBorder="1" applyAlignment="1">
      <alignment/>
    </xf>
    <xf numFmtId="43" fontId="0" fillId="10" borderId="84" xfId="0" applyNumberFormat="1" applyFill="1" applyBorder="1" applyAlignment="1">
      <alignment/>
    </xf>
    <xf numFmtId="43" fontId="0" fillId="10" borderId="85" xfId="0" applyNumberFormat="1" applyFill="1" applyBorder="1" applyAlignment="1">
      <alignment/>
    </xf>
    <xf numFmtId="171" fontId="0" fillId="10" borderId="38" xfId="0" applyNumberFormat="1" applyFill="1" applyBorder="1" applyAlignment="1">
      <alignment/>
    </xf>
    <xf numFmtId="171" fontId="0" fillId="10" borderId="22" xfId="0" applyNumberFormat="1" applyFill="1" applyBorder="1" applyAlignment="1">
      <alignment/>
    </xf>
    <xf numFmtId="171" fontId="0" fillId="10" borderId="23" xfId="0" applyNumberFormat="1" applyFill="1" applyBorder="1" applyAlignment="1">
      <alignment/>
    </xf>
    <xf numFmtId="43" fontId="0" fillId="4" borderId="19" xfId="0" applyNumberFormat="1" applyFill="1" applyBorder="1" applyAlignment="1">
      <alignment/>
    </xf>
    <xf numFmtId="43" fontId="0" fillId="4" borderId="20" xfId="0" applyNumberFormat="1" applyFill="1" applyBorder="1" applyAlignment="1">
      <alignment/>
    </xf>
    <xf numFmtId="171" fontId="0" fillId="4" borderId="19" xfId="0" applyNumberFormat="1" applyFill="1" applyBorder="1" applyAlignment="1">
      <alignment/>
    </xf>
    <xf numFmtId="171" fontId="0" fillId="4" borderId="20" xfId="0" applyNumberFormat="1" applyFill="1" applyBorder="1" applyAlignment="1">
      <alignment/>
    </xf>
    <xf numFmtId="171" fontId="0" fillId="4" borderId="110" xfId="0" applyNumberFormat="1" applyFill="1" applyBorder="1" applyAlignment="1">
      <alignment/>
    </xf>
    <xf numFmtId="171" fontId="0" fillId="4" borderId="111" xfId="0" applyNumberFormat="1" applyFill="1" applyBorder="1" applyAlignment="1">
      <alignment/>
    </xf>
    <xf numFmtId="0" fontId="0" fillId="0" borderId="0" xfId="0" applyFill="1" applyBorder="1" applyAlignment="1">
      <alignment horizontal="centerContinuous" vertical="center"/>
    </xf>
    <xf numFmtId="0" fontId="0" fillId="0" borderId="0" xfId="0" applyFont="1" applyFill="1" applyBorder="1" applyAlignment="1">
      <alignment/>
    </xf>
    <xf numFmtId="41" fontId="0" fillId="0" borderId="0" xfId="20" applyFont="1" applyFill="1" applyBorder="1" applyAlignment="1" applyProtection="1">
      <alignment/>
      <protection/>
    </xf>
    <xf numFmtId="41" fontId="0" fillId="0" borderId="0" xfId="20" applyFont="1" applyFill="1" applyBorder="1" applyAlignment="1" applyProtection="1">
      <alignment horizontal="center" wrapText="1"/>
      <protection/>
    </xf>
    <xf numFmtId="0" fontId="0" fillId="4" borderId="0" xfId="0" applyFill="1" applyBorder="1" applyAlignment="1">
      <alignment/>
    </xf>
    <xf numFmtId="172" fontId="0" fillId="0" borderId="0" xfId="0" applyNumberFormat="1" applyFill="1" applyBorder="1" applyAlignment="1" applyProtection="1">
      <alignment/>
      <protection/>
    </xf>
    <xf numFmtId="0" fontId="0" fillId="9" borderId="112" xfId="0" applyFont="1" applyFill="1" applyBorder="1" applyAlignment="1">
      <alignment/>
    </xf>
    <xf numFmtId="0" fontId="29" fillId="0" borderId="0" xfId="0" applyNumberFormat="1" applyFont="1" applyFill="1" applyBorder="1" applyAlignment="1">
      <alignment/>
    </xf>
    <xf numFmtId="0" fontId="0" fillId="0" borderId="113" xfId="0" applyBorder="1" applyAlignment="1">
      <alignment/>
    </xf>
    <xf numFmtId="0" fontId="0" fillId="3" borderId="112" xfId="0" applyFill="1" applyBorder="1" applyAlignment="1">
      <alignment/>
    </xf>
    <xf numFmtId="0" fontId="0" fillId="4" borderId="112" xfId="0" applyFill="1" applyBorder="1" applyAlignment="1">
      <alignment/>
    </xf>
    <xf numFmtId="0" fontId="0" fillId="10" borderId="114" xfId="0" applyFill="1" applyBorder="1" applyAlignment="1">
      <alignment/>
    </xf>
    <xf numFmtId="0" fontId="29" fillId="0" borderId="115" xfId="0" applyNumberFormat="1" applyFont="1" applyFill="1" applyBorder="1" applyAlignment="1">
      <alignment/>
    </xf>
    <xf numFmtId="0" fontId="0" fillId="0" borderId="115" xfId="0" applyBorder="1" applyAlignment="1">
      <alignment/>
    </xf>
    <xf numFmtId="0" fontId="0" fillId="0" borderId="116" xfId="0" applyBorder="1" applyAlignment="1">
      <alignment/>
    </xf>
    <xf numFmtId="0" fontId="0" fillId="9" borderId="117" xfId="0" applyFont="1" applyFill="1" applyBorder="1" applyAlignment="1">
      <alignment/>
    </xf>
    <xf numFmtId="0" fontId="0" fillId="0" borderId="118" xfId="0" applyBorder="1" applyAlignment="1">
      <alignment/>
    </xf>
    <xf numFmtId="0" fontId="0" fillId="3" borderId="117" xfId="0" applyFill="1" applyBorder="1" applyAlignment="1">
      <alignment/>
    </xf>
    <xf numFmtId="0" fontId="0" fillId="4" borderId="117" xfId="0" applyFill="1" applyBorder="1" applyAlignment="1">
      <alignment/>
    </xf>
    <xf numFmtId="0" fontId="0" fillId="10" borderId="119" xfId="0" applyFill="1" applyBorder="1" applyAlignment="1">
      <alignment/>
    </xf>
    <xf numFmtId="0" fontId="29" fillId="0" borderId="120" xfId="0" applyNumberFormat="1" applyFont="1" applyFill="1" applyBorder="1" applyAlignment="1">
      <alignment/>
    </xf>
    <xf numFmtId="0" fontId="0" fillId="0" borderId="121" xfId="0" applyBorder="1" applyAlignment="1">
      <alignment/>
    </xf>
    <xf numFmtId="0" fontId="29" fillId="2" borderId="0" xfId="0" applyNumberFormat="1" applyFont="1" applyFill="1" applyBorder="1" applyAlignment="1">
      <alignment/>
    </xf>
    <xf numFmtId="0" fontId="0" fillId="9" borderId="0" xfId="0" applyFont="1" applyFill="1" applyBorder="1" applyAlignment="1">
      <alignment/>
    </xf>
    <xf numFmtId="0" fontId="29" fillId="0" borderId="117" xfId="0" applyNumberFormat="1" applyFont="1" applyFill="1" applyBorder="1" applyAlignment="1">
      <alignment/>
    </xf>
    <xf numFmtId="0" fontId="0" fillId="9" borderId="118" xfId="0" applyFont="1" applyFill="1" applyBorder="1" applyAlignment="1">
      <alignment/>
    </xf>
    <xf numFmtId="0" fontId="0" fillId="3" borderId="118" xfId="0" applyFill="1" applyBorder="1" applyAlignment="1">
      <alignment/>
    </xf>
    <xf numFmtId="0" fontId="0" fillId="4" borderId="118" xfId="0" applyFill="1" applyBorder="1" applyAlignment="1">
      <alignment/>
    </xf>
    <xf numFmtId="0" fontId="29" fillId="0" borderId="119" xfId="0" applyNumberFormat="1" applyFont="1" applyFill="1" applyBorder="1" applyAlignment="1">
      <alignment/>
    </xf>
    <xf numFmtId="0" fontId="0" fillId="10" borderId="120" xfId="0" applyFill="1" applyBorder="1" applyAlignment="1">
      <alignment/>
    </xf>
    <xf numFmtId="0" fontId="0" fillId="10" borderId="121" xfId="0" applyFill="1" applyBorder="1" applyAlignment="1">
      <alignment/>
    </xf>
    <xf numFmtId="0" fontId="1" fillId="10" borderId="122" xfId="0" applyFont="1" applyFill="1" applyBorder="1" applyAlignment="1">
      <alignment/>
    </xf>
    <xf numFmtId="0" fontId="0" fillId="10" borderId="123" xfId="0" applyFill="1" applyBorder="1" applyAlignment="1">
      <alignment/>
    </xf>
    <xf numFmtId="0" fontId="0" fillId="10" borderId="124" xfId="0" applyFill="1" applyBorder="1" applyAlignment="1" applyProtection="1">
      <alignment/>
      <protection/>
    </xf>
    <xf numFmtId="10" fontId="0" fillId="6" borderId="125" xfId="19" applyNumberFormat="1" applyFont="1" applyFill="1" applyBorder="1" applyAlignment="1" applyProtection="1">
      <alignment/>
      <protection locked="0"/>
    </xf>
    <xf numFmtId="10" fontId="0" fillId="6" borderId="125" xfId="19" applyNumberFormat="1" applyFill="1" applyBorder="1" applyAlignment="1" applyProtection="1">
      <alignment/>
      <protection locked="0"/>
    </xf>
    <xf numFmtId="0" fontId="0" fillId="10" borderId="124" xfId="0" applyFill="1" applyBorder="1" applyAlignment="1" applyProtection="1">
      <alignment horizontal="left"/>
      <protection/>
    </xf>
    <xf numFmtId="0" fontId="0" fillId="10" borderId="125" xfId="0" applyFill="1" applyBorder="1" applyAlignment="1">
      <alignment/>
    </xf>
    <xf numFmtId="0" fontId="0" fillId="10" borderId="126" xfId="0" applyFill="1" applyBorder="1" applyAlignment="1" applyProtection="1">
      <alignment/>
      <protection/>
    </xf>
    <xf numFmtId="10" fontId="0" fillId="6" borderId="127" xfId="19" applyNumberFormat="1" applyFill="1" applyBorder="1" applyAlignment="1" applyProtection="1">
      <alignment/>
      <protection locked="0"/>
    </xf>
    <xf numFmtId="167" fontId="0" fillId="3" borderId="15" xfId="20" applyNumberFormat="1" applyFont="1" applyFill="1" applyBorder="1" applyAlignment="1">
      <alignment/>
    </xf>
    <xf numFmtId="0" fontId="24" fillId="7" borderId="0" xfId="0" applyFont="1" applyFill="1" applyAlignment="1">
      <alignment horizontal="center"/>
    </xf>
    <xf numFmtId="0" fontId="3" fillId="5" borderId="128" xfId="0" applyNumberFormat="1" applyFont="1" applyFill="1" applyBorder="1" applyAlignment="1" applyProtection="1">
      <alignment horizontal="center"/>
      <protection/>
    </xf>
    <xf numFmtId="0" fontId="3" fillId="5" borderId="129" xfId="0" applyNumberFormat="1" applyFont="1" applyFill="1" applyBorder="1" applyAlignment="1" applyProtection="1">
      <alignment horizontal="center"/>
      <protection/>
    </xf>
    <xf numFmtId="0" fontId="3" fillId="5" borderId="130" xfId="0" applyNumberFormat="1" applyFont="1" applyFill="1" applyBorder="1" applyAlignment="1" applyProtection="1">
      <alignment horizontal="center"/>
      <protection/>
    </xf>
    <xf numFmtId="0" fontId="3" fillId="0" borderId="131" xfId="0" applyFont="1" applyBorder="1" applyAlignment="1">
      <alignment horizontal="center"/>
    </xf>
    <xf numFmtId="0" fontId="3" fillId="0" borderId="132" xfId="0" applyFont="1" applyBorder="1" applyAlignment="1">
      <alignment horizontal="center"/>
    </xf>
    <xf numFmtId="0" fontId="3" fillId="0" borderId="133" xfId="0" applyFont="1" applyBorder="1" applyAlignment="1">
      <alignment horizontal="center"/>
    </xf>
    <xf numFmtId="172" fontId="30" fillId="9" borderId="71" xfId="0" applyNumberFormat="1" applyFont="1" applyFill="1" applyBorder="1" applyAlignment="1" applyProtection="1">
      <alignment horizontal="center" vertical="top" wrapText="1"/>
      <protection/>
    </xf>
    <xf numFmtId="172" fontId="30" fillId="9" borderId="134" xfId="0" applyNumberFormat="1" applyFont="1" applyFill="1" applyBorder="1" applyAlignment="1" applyProtection="1">
      <alignment horizontal="center" vertical="top" wrapText="1"/>
      <protection/>
    </xf>
    <xf numFmtId="172" fontId="30" fillId="9" borderId="64" xfId="0" applyNumberFormat="1" applyFont="1" applyFill="1" applyBorder="1" applyAlignment="1" applyProtection="1">
      <alignment horizontal="center" vertical="top" wrapText="1"/>
      <protection/>
    </xf>
    <xf numFmtId="0" fontId="25" fillId="5" borderId="10" xfId="0" applyFont="1" applyFill="1" applyBorder="1" applyAlignment="1">
      <alignment horizontal="center"/>
    </xf>
    <xf numFmtId="0" fontId="25" fillId="5" borderId="87" xfId="0" applyFont="1" applyFill="1" applyBorder="1" applyAlignment="1">
      <alignment horizontal="center"/>
    </xf>
    <xf numFmtId="0" fontId="25" fillId="5" borderId="82" xfId="0" applyFont="1" applyFill="1" applyBorder="1" applyAlignment="1">
      <alignment horizontal="center"/>
    </xf>
    <xf numFmtId="0" fontId="3" fillId="0" borderId="10"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10" xfId="0" applyFont="1" applyBorder="1" applyAlignment="1">
      <alignment horizontal="center" vertical="center"/>
    </xf>
    <xf numFmtId="0" fontId="3" fillId="0" borderId="82" xfId="0" applyFont="1" applyBorder="1" applyAlignment="1">
      <alignment horizontal="center" vertical="center"/>
    </xf>
    <xf numFmtId="0" fontId="3" fillId="5" borderId="10" xfId="0" applyNumberFormat="1" applyFont="1" applyFill="1" applyBorder="1" applyAlignment="1" applyProtection="1">
      <alignment horizontal="center"/>
      <protection/>
    </xf>
    <xf numFmtId="0" fontId="3" fillId="5" borderId="82" xfId="0" applyNumberFormat="1" applyFont="1" applyFill="1" applyBorder="1" applyAlignment="1" applyProtection="1">
      <alignment horizontal="center"/>
      <protection/>
    </xf>
    <xf numFmtId="0" fontId="3" fillId="5" borderId="128" xfId="0" applyFont="1" applyFill="1" applyBorder="1" applyAlignment="1">
      <alignment horizontal="center" vertical="center"/>
    </xf>
    <xf numFmtId="0" fontId="3" fillId="5" borderId="129" xfId="0" applyFont="1" applyFill="1" applyBorder="1" applyAlignment="1">
      <alignment horizontal="center" vertical="center"/>
    </xf>
    <xf numFmtId="0" fontId="3" fillId="5" borderId="130"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9" borderId="62" xfId="0" applyFont="1" applyFill="1" applyBorder="1" applyAlignment="1">
      <alignment horizontal="center" vertical="center"/>
    </xf>
    <xf numFmtId="0" fontId="3" fillId="9" borderId="64" xfId="0" applyFont="1" applyFill="1" applyBorder="1" applyAlignment="1">
      <alignment horizontal="center" vertical="center"/>
    </xf>
    <xf numFmtId="0" fontId="3" fillId="0" borderId="135" xfId="0" applyFont="1" applyBorder="1" applyAlignment="1">
      <alignment horizont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87"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70"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3" borderId="26" xfId="0" applyFont="1" applyFill="1" applyBorder="1" applyAlignment="1">
      <alignment wrapText="1"/>
    </xf>
    <xf numFmtId="0" fontId="3" fillId="3" borderId="13" xfId="0" applyFont="1" applyFill="1" applyBorder="1" applyAlignment="1">
      <alignment wrapText="1"/>
    </xf>
    <xf numFmtId="0" fontId="0" fillId="0" borderId="0" xfId="0" applyFill="1" applyBorder="1" applyAlignment="1">
      <alignment/>
    </xf>
    <xf numFmtId="0" fontId="3" fillId="3" borderId="138" xfId="0" applyFont="1" applyFill="1" applyBorder="1" applyAlignment="1">
      <alignment horizontal="center" vertical="center" textRotation="255" wrapText="1"/>
    </xf>
    <xf numFmtId="0" fontId="3" fillId="3" borderId="139" xfId="0" applyFont="1" applyFill="1" applyBorder="1" applyAlignment="1">
      <alignment horizontal="center" vertical="center" textRotation="255" wrapText="1"/>
    </xf>
    <xf numFmtId="0" fontId="14" fillId="0" borderId="26" xfId="0" applyFont="1" applyBorder="1" applyAlignment="1">
      <alignment horizontal="center"/>
    </xf>
    <xf numFmtId="0" fontId="0" fillId="0" borderId="27" xfId="0" applyBorder="1" applyAlignment="1">
      <alignment/>
    </xf>
    <xf numFmtId="0" fontId="0" fillId="0" borderId="29" xfId="0" applyBorder="1" applyAlignment="1">
      <alignment/>
    </xf>
    <xf numFmtId="0" fontId="3" fillId="10" borderId="26" xfId="0" applyFont="1" applyFill="1" applyBorder="1" applyAlignment="1">
      <alignment wrapText="1"/>
    </xf>
    <xf numFmtId="0" fontId="3" fillId="10" borderId="13" xfId="0" applyFont="1" applyFill="1" applyBorder="1" applyAlignment="1">
      <alignment wrapText="1"/>
    </xf>
    <xf numFmtId="0" fontId="3" fillId="10" borderId="138" xfId="0" applyFont="1" applyFill="1" applyBorder="1" applyAlignment="1">
      <alignment horizontal="center" vertical="center" textRotation="255" wrapText="1"/>
    </xf>
    <xf numFmtId="0" fontId="3" fillId="10" borderId="139" xfId="0" applyFont="1" applyFill="1" applyBorder="1" applyAlignment="1">
      <alignment horizontal="center" vertical="center" textRotation="255" wrapText="1"/>
    </xf>
    <xf numFmtId="0" fontId="3" fillId="4" borderId="26" xfId="0" applyFont="1" applyFill="1" applyBorder="1" applyAlignment="1">
      <alignment wrapText="1"/>
    </xf>
    <xf numFmtId="0" fontId="3" fillId="4" borderId="13" xfId="0" applyFont="1" applyFill="1" applyBorder="1" applyAlignment="1">
      <alignment wrapText="1"/>
    </xf>
    <xf numFmtId="0" fontId="3" fillId="4" borderId="26" xfId="0" applyFont="1" applyFill="1" applyBorder="1" applyAlignment="1">
      <alignment vertical="center" textRotation="255" wrapText="1"/>
    </xf>
    <xf numFmtId="0" fontId="3" fillId="4" borderId="11" xfId="0" applyFont="1" applyFill="1" applyBorder="1" applyAlignment="1">
      <alignment vertical="center" textRotation="255" wrapText="1"/>
    </xf>
    <xf numFmtId="0" fontId="3" fillId="4" borderId="13" xfId="0" applyFont="1" applyFill="1" applyBorder="1" applyAlignment="1">
      <alignment vertical="center" textRotation="255" wrapText="1"/>
    </xf>
    <xf numFmtId="0" fontId="14" fillId="0" borderId="5" xfId="0" applyFont="1" applyBorder="1" applyAlignment="1">
      <alignment horizontal="center"/>
    </xf>
    <xf numFmtId="0" fontId="14" fillId="0" borderId="1" xfId="0" applyFont="1" applyBorder="1" applyAlignment="1">
      <alignment horizontal="center"/>
    </xf>
    <xf numFmtId="0" fontId="14" fillId="0" borderId="27" xfId="0" applyFont="1" applyBorder="1" applyAlignment="1">
      <alignment horizontal="center"/>
    </xf>
    <xf numFmtId="0" fontId="14" fillId="0" borderId="29" xfId="0" applyFont="1" applyBorder="1" applyAlignment="1">
      <alignment horizontal="center"/>
    </xf>
    <xf numFmtId="0" fontId="3" fillId="10" borderId="11" xfId="0" applyFont="1" applyFill="1" applyBorder="1" applyAlignment="1">
      <alignment horizontal="center" vertical="center" textRotation="255" wrapText="1"/>
    </xf>
    <xf numFmtId="0" fontId="3" fillId="10" borderId="13" xfId="0" applyFont="1" applyFill="1" applyBorder="1" applyAlignment="1">
      <alignment horizontal="center" vertical="center" textRotation="255"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152400</xdr:rowOff>
    </xdr:from>
    <xdr:to>
      <xdr:col>8</xdr:col>
      <xdr:colOff>495300</xdr:colOff>
      <xdr:row>16</xdr:row>
      <xdr:rowOff>85725</xdr:rowOff>
    </xdr:to>
    <xdr:sp>
      <xdr:nvSpPr>
        <xdr:cNvPr id="1" name="TextBox 7"/>
        <xdr:cNvSpPr txBox="1">
          <a:spLocks noChangeArrowheads="1"/>
        </xdr:cNvSpPr>
      </xdr:nvSpPr>
      <xdr:spPr>
        <a:xfrm>
          <a:off x="447675" y="638175"/>
          <a:ext cx="4629150" cy="2600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3366"/>
              </a:solidFill>
            </a:rPr>
            <a:t>
This financial model has been created in order to support the 
activities of the above organizations in their efforts to promote the 
commercial financing of energy efficiency projects in Brazil by independent energy services companies (ESCOs). Financial support for the creation of this project has been provided by the World Bank through the UN Foundation and the United States Agency for International Development. 
(Scroll down for further information)
</a:t>
          </a:r>
        </a:p>
      </xdr:txBody>
    </xdr:sp>
    <xdr:clientData/>
  </xdr:twoCellAnchor>
  <xdr:twoCellAnchor>
    <xdr:from>
      <xdr:col>1</xdr:col>
      <xdr:colOff>114300</xdr:colOff>
      <xdr:row>41</xdr:row>
      <xdr:rowOff>161925</xdr:rowOff>
    </xdr:from>
    <xdr:to>
      <xdr:col>8</xdr:col>
      <xdr:colOff>476250</xdr:colOff>
      <xdr:row>56</xdr:row>
      <xdr:rowOff>123825</xdr:rowOff>
    </xdr:to>
    <xdr:sp>
      <xdr:nvSpPr>
        <xdr:cNvPr id="2" name="TextBox 11"/>
        <xdr:cNvSpPr txBox="1">
          <a:spLocks noChangeArrowheads="1"/>
        </xdr:cNvSpPr>
      </xdr:nvSpPr>
      <xdr:spPr>
        <a:xfrm>
          <a:off x="428625" y="8077200"/>
          <a:ext cx="4629150" cy="2819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3366"/>
              </a:solidFill>
            </a:rPr>
            <a:t> Relationships between entities involved in ESCO Project
</a:t>
          </a:r>
        </a:p>
      </xdr:txBody>
    </xdr:sp>
    <xdr:clientData/>
  </xdr:twoCellAnchor>
  <xdr:twoCellAnchor>
    <xdr:from>
      <xdr:col>1</xdr:col>
      <xdr:colOff>142875</xdr:colOff>
      <xdr:row>18</xdr:row>
      <xdr:rowOff>104775</xdr:rowOff>
    </xdr:from>
    <xdr:to>
      <xdr:col>8</xdr:col>
      <xdr:colOff>504825</xdr:colOff>
      <xdr:row>36</xdr:row>
      <xdr:rowOff>19050</xdr:rowOff>
    </xdr:to>
    <xdr:sp>
      <xdr:nvSpPr>
        <xdr:cNvPr id="3" name="TextBox 47"/>
        <xdr:cNvSpPr txBox="1">
          <a:spLocks noChangeArrowheads="1"/>
        </xdr:cNvSpPr>
      </xdr:nvSpPr>
      <xdr:spPr>
        <a:xfrm>
          <a:off x="457200" y="3638550"/>
          <a:ext cx="4629150" cy="3343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3366"/>
              </a:solidFill>
              <a:latin typeface="Century Gothic"/>
              <a:ea typeface="Century Gothic"/>
              <a:cs typeface="Century Gothic"/>
            </a:rPr>
            <a:t>Instructions:
Enter Data only in </a:t>
          </a:r>
          <a:r>
            <a:rPr lang="en-US" cap="none" sz="1000" b="1" i="0" u="none" baseline="0">
              <a:solidFill>
                <a:srgbClr val="FFFF00"/>
              </a:solidFill>
              <a:latin typeface="Century Gothic"/>
              <a:ea typeface="Century Gothic"/>
              <a:cs typeface="Century Gothic"/>
            </a:rPr>
            <a:t>YELLOW</a:t>
          </a:r>
          <a:r>
            <a:rPr lang="en-US" cap="none" sz="1000" b="1" i="0" u="none" baseline="0">
              <a:solidFill>
                <a:srgbClr val="003366"/>
              </a:solidFill>
              <a:latin typeface="Century Gothic"/>
              <a:ea typeface="Century Gothic"/>
              <a:cs typeface="Century Gothic"/>
            </a:rPr>
            <a:t> and </a:t>
          </a:r>
          <a:r>
            <a:rPr lang="en-US" cap="none" sz="1000" b="1" i="0" u="none" baseline="0">
              <a:solidFill>
                <a:srgbClr val="00FFFF"/>
              </a:solidFill>
              <a:latin typeface="Century Gothic"/>
              <a:ea typeface="Century Gothic"/>
              <a:cs typeface="Century Gothic"/>
            </a:rPr>
            <a:t>AQUA BLUE</a:t>
          </a:r>
          <a:r>
            <a:rPr lang="en-US" cap="none" sz="1000" b="1" i="0" u="none" baseline="0">
              <a:solidFill>
                <a:srgbClr val="003366"/>
              </a:solidFill>
              <a:latin typeface="Century Gothic"/>
              <a:ea typeface="Century Gothic"/>
              <a:cs typeface="Century Gothic"/>
            </a:rPr>
            <a:t> cells.
1)  Go to Worksheet "Inputs"
2)  Enter costs and savings from efficiency measures 
3)  Enter Corporate financial information (including loans) on the ESCO 
4)  Enter Corporate financial information on the Customer
5)  Enter data in designated (</a:t>
          </a:r>
          <a:r>
            <a:rPr lang="en-US" cap="none" sz="1000" b="1" i="0" u="none" baseline="0">
              <a:solidFill>
                <a:srgbClr val="FFFF00"/>
              </a:solidFill>
              <a:latin typeface="Century Gothic"/>
              <a:ea typeface="Century Gothic"/>
              <a:cs typeface="Century Gothic"/>
            </a:rPr>
            <a:t>yellow</a:t>
          </a:r>
          <a:r>
            <a:rPr lang="en-US" cap="none" sz="1000" b="1" i="0" u="none" baseline="0">
              <a:solidFill>
                <a:srgbClr val="003366"/>
              </a:solidFill>
              <a:latin typeface="Century Gothic"/>
              <a:ea typeface="Century Gothic"/>
              <a:cs typeface="Century Gothic"/>
            </a:rPr>
            <a:t>) cells:  financial, operating costs, soft costs, savings, etc. Explanations of or instructions for various cells shown in comment boxes
6) Review characteristics of SPE-ESCO in the "Input Summary" Worksheet
7) Review outputs in the "Output Summary" Worksheet and for more detail see "ESCO Output", "Customer Output" and the "Lender Output" Worksheet
8) Repeat data entry process to examine impact on overall returns to the SPE-ESCO and Customer
9) Run Sensitivity Analysis (if necessary) in "Sensitivity" worksheet
Tables are color coded to indicate level of analysis:
</a:t>
          </a:r>
        </a:p>
      </xdr:txBody>
    </xdr:sp>
    <xdr:clientData/>
  </xdr:twoCellAnchor>
  <xdr:twoCellAnchor editAs="oneCell">
    <xdr:from>
      <xdr:col>1</xdr:col>
      <xdr:colOff>266700</xdr:colOff>
      <xdr:row>4</xdr:row>
      <xdr:rowOff>28575</xdr:rowOff>
    </xdr:from>
    <xdr:to>
      <xdr:col>8</xdr:col>
      <xdr:colOff>342900</xdr:colOff>
      <xdr:row>7</xdr:row>
      <xdr:rowOff>9525</xdr:rowOff>
    </xdr:to>
    <xdr:pic>
      <xdr:nvPicPr>
        <xdr:cNvPr id="4" name="Picture 61"/>
        <xdr:cNvPicPr preferRelativeResize="1">
          <a:picLocks noChangeAspect="1"/>
        </xdr:cNvPicPr>
      </xdr:nvPicPr>
      <xdr:blipFill>
        <a:blip r:embed="rId1"/>
        <a:stretch>
          <a:fillRect/>
        </a:stretch>
      </xdr:blipFill>
      <xdr:spPr>
        <a:xfrm>
          <a:off x="581025" y="895350"/>
          <a:ext cx="4343400" cy="552450"/>
        </a:xfrm>
        <a:prstGeom prst="rect">
          <a:avLst/>
        </a:prstGeom>
        <a:noFill/>
        <a:ln w="9525" cmpd="sng">
          <a:noFill/>
        </a:ln>
      </xdr:spPr>
    </xdr:pic>
    <xdr:clientData/>
  </xdr:twoCellAnchor>
  <xdr:twoCellAnchor editAs="oneCell">
    <xdr:from>
      <xdr:col>1</xdr:col>
      <xdr:colOff>304800</xdr:colOff>
      <xdr:row>43</xdr:row>
      <xdr:rowOff>38100</xdr:rowOff>
    </xdr:from>
    <xdr:to>
      <xdr:col>8</xdr:col>
      <xdr:colOff>171450</xdr:colOff>
      <xdr:row>56</xdr:row>
      <xdr:rowOff>57150</xdr:rowOff>
    </xdr:to>
    <xdr:pic>
      <xdr:nvPicPr>
        <xdr:cNvPr id="5" name="Picture 93"/>
        <xdr:cNvPicPr preferRelativeResize="1">
          <a:picLocks noChangeAspect="1"/>
        </xdr:cNvPicPr>
      </xdr:nvPicPr>
      <xdr:blipFill>
        <a:blip r:embed="rId2"/>
        <a:stretch>
          <a:fillRect/>
        </a:stretch>
      </xdr:blipFill>
      <xdr:spPr>
        <a:xfrm>
          <a:off x="619125" y="8334375"/>
          <a:ext cx="4133850" cy="2495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31</xdr:row>
      <xdr:rowOff>104775</xdr:rowOff>
    </xdr:from>
    <xdr:to>
      <xdr:col>6</xdr:col>
      <xdr:colOff>571500</xdr:colOff>
      <xdr:row>31</xdr:row>
      <xdr:rowOff>104775</xdr:rowOff>
    </xdr:to>
    <xdr:sp>
      <xdr:nvSpPr>
        <xdr:cNvPr id="1" name="Line 5"/>
        <xdr:cNvSpPr>
          <a:spLocks/>
        </xdr:cNvSpPr>
      </xdr:nvSpPr>
      <xdr:spPr>
        <a:xfrm flipV="1">
          <a:off x="6372225" y="6181725"/>
          <a:ext cx="8667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32</xdr:row>
      <xdr:rowOff>104775</xdr:rowOff>
    </xdr:from>
    <xdr:to>
      <xdr:col>6</xdr:col>
      <xdr:colOff>571500</xdr:colOff>
      <xdr:row>32</xdr:row>
      <xdr:rowOff>104775</xdr:rowOff>
    </xdr:to>
    <xdr:sp>
      <xdr:nvSpPr>
        <xdr:cNvPr id="1" name="Line 5"/>
        <xdr:cNvSpPr>
          <a:spLocks/>
        </xdr:cNvSpPr>
      </xdr:nvSpPr>
      <xdr:spPr>
        <a:xfrm flipV="1">
          <a:off x="6372225" y="6372225"/>
          <a:ext cx="8667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34</xdr:row>
      <xdr:rowOff>104775</xdr:rowOff>
    </xdr:from>
    <xdr:to>
      <xdr:col>6</xdr:col>
      <xdr:colOff>571500</xdr:colOff>
      <xdr:row>34</xdr:row>
      <xdr:rowOff>104775</xdr:rowOff>
    </xdr:to>
    <xdr:sp>
      <xdr:nvSpPr>
        <xdr:cNvPr id="1" name="Line 93"/>
        <xdr:cNvSpPr>
          <a:spLocks/>
        </xdr:cNvSpPr>
      </xdr:nvSpPr>
      <xdr:spPr>
        <a:xfrm flipV="1">
          <a:off x="6324600" y="6924675"/>
          <a:ext cx="9906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12</xdr:row>
      <xdr:rowOff>114300</xdr:rowOff>
    </xdr:from>
    <xdr:to>
      <xdr:col>3</xdr:col>
      <xdr:colOff>838200</xdr:colOff>
      <xdr:row>12</xdr:row>
      <xdr:rowOff>114300</xdr:rowOff>
    </xdr:to>
    <xdr:sp>
      <xdr:nvSpPr>
        <xdr:cNvPr id="1" name="Line 3"/>
        <xdr:cNvSpPr>
          <a:spLocks/>
        </xdr:cNvSpPr>
      </xdr:nvSpPr>
      <xdr:spPr>
        <a:xfrm flipV="1">
          <a:off x="4010025" y="2400300"/>
          <a:ext cx="1066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990600</xdr:colOff>
      <xdr:row>47</xdr:row>
      <xdr:rowOff>114300</xdr:rowOff>
    </xdr:from>
    <xdr:to>
      <xdr:col>3</xdr:col>
      <xdr:colOff>838200</xdr:colOff>
      <xdr:row>47</xdr:row>
      <xdr:rowOff>114300</xdr:rowOff>
    </xdr:to>
    <xdr:sp>
      <xdr:nvSpPr>
        <xdr:cNvPr id="2" name="Line 67"/>
        <xdr:cNvSpPr>
          <a:spLocks/>
        </xdr:cNvSpPr>
      </xdr:nvSpPr>
      <xdr:spPr>
        <a:xfrm flipV="1">
          <a:off x="4010025" y="9067800"/>
          <a:ext cx="1066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41"/>
  <sheetViews>
    <sheetView zoomScale="150" zoomScaleNormal="150" zoomScaleSheetLayoutView="50" workbookViewId="0" topLeftCell="A1">
      <selection activeCell="P48" sqref="P48"/>
    </sheetView>
  </sheetViews>
  <sheetFormatPr defaultColWidth="9.140625" defaultRowHeight="15"/>
  <cols>
    <col min="1" max="1" width="4.7109375" style="429" customWidth="1"/>
    <col min="2" max="16384" width="9.140625" style="429" customWidth="1"/>
  </cols>
  <sheetData>
    <row r="1" ht="15">
      <c r="A1" s="428"/>
    </row>
    <row r="2" spans="1:10" ht="23.25">
      <c r="A2" s="1069" t="s">
        <v>327</v>
      </c>
      <c r="B2" s="1069"/>
      <c r="C2" s="1069"/>
      <c r="D2" s="1069"/>
      <c r="E2" s="1069"/>
      <c r="F2" s="1069"/>
      <c r="G2" s="1069"/>
      <c r="H2" s="1069"/>
      <c r="I2" s="1069"/>
      <c r="J2" s="1069"/>
    </row>
    <row r="3" ht="15"/>
    <row r="4" ht="15"/>
    <row r="5" ht="15"/>
    <row r="6" ht="15"/>
    <row r="7" ht="15"/>
    <row r="8" ht="15"/>
    <row r="9" ht="15"/>
    <row r="10" ht="15"/>
    <row r="11" ht="15"/>
    <row r="12" ht="15"/>
    <row r="13" ht="15"/>
    <row r="14" ht="15"/>
    <row r="15" ht="15"/>
    <row r="16" ht="15"/>
    <row r="17" ht="15"/>
    <row r="18" ht="15"/>
    <row r="19" ht="15"/>
    <row r="20" ht="15"/>
    <row r="35" ht="15">
      <c r="A35" s="428"/>
    </row>
    <row r="38" spans="3:4" ht="15">
      <c r="C38" s="530"/>
      <c r="D38" s="531" t="s">
        <v>313</v>
      </c>
    </row>
    <row r="39" spans="3:4" ht="15">
      <c r="C39" s="56"/>
      <c r="D39" s="531" t="s">
        <v>401</v>
      </c>
    </row>
    <row r="40" spans="3:4" ht="15">
      <c r="C40" s="174"/>
      <c r="D40" s="531" t="s">
        <v>312</v>
      </c>
    </row>
    <row r="41" spans="3:4" ht="15">
      <c r="C41" s="1009"/>
      <c r="D41" s="531" t="s">
        <v>311</v>
      </c>
    </row>
    <row r="45" ht="15"/>
    <row r="46" ht="15"/>
    <row r="47" ht="15"/>
    <row r="48" ht="15"/>
    <row r="49" ht="15"/>
    <row r="50" ht="15"/>
    <row r="51" ht="15"/>
    <row r="52" ht="15"/>
    <row r="53" ht="15"/>
    <row r="54" ht="15"/>
    <row r="55" ht="15"/>
    <row r="56" ht="15"/>
  </sheetData>
  <sheetProtection password="D997" sheet="1" objects="1" scenarios="1"/>
  <mergeCells count="1">
    <mergeCell ref="A2:J2"/>
  </mergeCells>
  <printOptions/>
  <pageMargins left="0.75" right="0.75" top="1" bottom="1" header="0.5" footer="0.5"/>
  <pageSetup horizontalDpi="600" verticalDpi="600" orientation="portrait" r:id="rId3"/>
  <rowBreaks count="1" manualBreakCount="1">
    <brk id="41" max="255" man="1"/>
  </rowBreaks>
  <drawing r:id="rId2"/>
  <legacy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AA61"/>
  <sheetViews>
    <sheetView showGridLines="0" zoomScale="70" zoomScaleNormal="70" workbookViewId="0" topLeftCell="K1">
      <selection activeCell="N20" sqref="N20"/>
    </sheetView>
  </sheetViews>
  <sheetFormatPr defaultColWidth="9.140625" defaultRowHeight="15"/>
  <cols>
    <col min="1" max="1" width="11.28125" style="67" customWidth="1"/>
    <col min="2" max="2" width="39.57421875" style="67" customWidth="1"/>
    <col min="3" max="3" width="11.57421875" style="67" customWidth="1"/>
    <col min="4" max="4" width="13.421875" style="67" customWidth="1"/>
    <col min="5" max="5" width="13.57421875" style="67" customWidth="1"/>
    <col min="6" max="6" width="11.7109375" style="67" customWidth="1"/>
    <col min="7" max="7" width="8.8515625" style="67" customWidth="1"/>
    <col min="8" max="8" width="14.00390625" style="67" customWidth="1"/>
    <col min="9" max="10" width="14.140625" style="67" customWidth="1"/>
    <col min="11" max="11" width="5.421875" style="67" customWidth="1"/>
    <col min="12" max="12" width="34.00390625" style="67" customWidth="1"/>
    <col min="13" max="13" width="18.00390625" style="67" customWidth="1"/>
    <col min="14" max="14" width="11.00390625" style="67" customWidth="1"/>
    <col min="15" max="15" width="12.421875" style="67" customWidth="1"/>
    <col min="16" max="16" width="13.421875" style="67" customWidth="1"/>
    <col min="17" max="17" width="11.7109375" style="67" customWidth="1"/>
    <col min="18" max="18" width="11.28125" style="67" customWidth="1"/>
    <col min="19" max="23" width="11.57421875" style="67" bestFit="1" customWidth="1"/>
    <col min="24" max="24" width="12.7109375" style="67" bestFit="1" customWidth="1"/>
    <col min="25" max="16384" width="8.8515625" style="67" customWidth="1"/>
  </cols>
  <sheetData>
    <row r="1" spans="1:27" ht="29.25" thickBot="1">
      <c r="A1" s="297"/>
      <c r="B1" s="368" t="s">
        <v>56</v>
      </c>
      <c r="C1" s="297"/>
      <c r="D1" s="297"/>
      <c r="E1" s="369"/>
      <c r="F1" s="45"/>
      <c r="G1" s="296"/>
      <c r="H1" s="296"/>
      <c r="I1" s="297"/>
      <c r="J1" s="298"/>
      <c r="K1" s="298"/>
      <c r="L1" s="743" t="s">
        <v>57</v>
      </c>
      <c r="M1" s="299"/>
      <c r="N1" s="299"/>
      <c r="O1" s="299"/>
      <c r="P1" s="299"/>
      <c r="Q1" s="299"/>
      <c r="R1" s="299"/>
      <c r="S1" s="299"/>
      <c r="T1" s="299"/>
      <c r="U1" s="299"/>
      <c r="V1" s="299"/>
      <c r="W1" s="299"/>
      <c r="X1" s="299"/>
      <c r="Y1" s="298"/>
      <c r="Z1" s="298"/>
      <c r="AA1" s="298"/>
    </row>
    <row r="2" spans="1:27" s="68" customFormat="1" ht="28.5">
      <c r="A2" s="298"/>
      <c r="B2" s="370"/>
      <c r="C2" s="371" t="s">
        <v>30</v>
      </c>
      <c r="D2" s="371"/>
      <c r="E2" s="372" t="s">
        <v>58</v>
      </c>
      <c r="F2" s="66"/>
      <c r="G2" s="300"/>
      <c r="H2" s="301" t="s">
        <v>59</v>
      </c>
      <c r="I2" s="302"/>
      <c r="J2" s="303"/>
      <c r="K2" s="298"/>
      <c r="L2" s="304" t="s">
        <v>60</v>
      </c>
      <c r="M2" s="303">
        <v>0</v>
      </c>
      <c r="N2" s="303">
        <v>1</v>
      </c>
      <c r="O2" s="303">
        <v>2</v>
      </c>
      <c r="P2" s="303">
        <v>3</v>
      </c>
      <c r="Q2" s="303">
        <v>4</v>
      </c>
      <c r="R2" s="303">
        <v>5</v>
      </c>
      <c r="S2" s="303">
        <v>6</v>
      </c>
      <c r="T2" s="303">
        <v>7</v>
      </c>
      <c r="U2" s="303">
        <v>8</v>
      </c>
      <c r="V2" s="303">
        <v>9</v>
      </c>
      <c r="W2" s="303">
        <v>10</v>
      </c>
      <c r="X2" s="304" t="s">
        <v>61</v>
      </c>
      <c r="Y2" s="298"/>
      <c r="Z2" s="298"/>
      <c r="AA2" s="298"/>
    </row>
    <row r="3" spans="1:27" s="68" customFormat="1" ht="15">
      <c r="A3" s="298" t="s">
        <v>53</v>
      </c>
      <c r="B3" s="373" t="s">
        <v>29</v>
      </c>
      <c r="C3" s="374"/>
      <c r="D3" s="375">
        <f>HCost</f>
        <v>350000</v>
      </c>
      <c r="E3" s="376"/>
      <c r="F3" s="66"/>
      <c r="G3" s="305"/>
      <c r="H3" s="306"/>
      <c r="I3" s="307"/>
      <c r="J3" s="303"/>
      <c r="K3" s="298"/>
      <c r="L3" s="304"/>
      <c r="M3" s="303"/>
      <c r="N3" s="303"/>
      <c r="O3" s="303"/>
      <c r="P3" s="303"/>
      <c r="Q3" s="303"/>
      <c r="R3" s="303"/>
      <c r="S3" s="303"/>
      <c r="T3" s="303"/>
      <c r="U3" s="303"/>
      <c r="V3" s="303"/>
      <c r="W3" s="303"/>
      <c r="X3" s="304"/>
      <c r="Y3" s="298"/>
      <c r="Z3" s="298"/>
      <c r="AA3" s="298"/>
    </row>
    <row r="4" spans="1:27" s="68" customFormat="1" ht="15">
      <c r="A4" s="298"/>
      <c r="B4" s="373" t="s">
        <v>295</v>
      </c>
      <c r="C4" s="374"/>
      <c r="D4" s="375">
        <f>D3*' Summary'!J22</f>
        <v>3500</v>
      </c>
      <c r="E4" s="376"/>
      <c r="F4" s="66"/>
      <c r="G4" s="305"/>
      <c r="H4" s="306"/>
      <c r="I4" s="307"/>
      <c r="J4" s="303"/>
      <c r="K4" s="298"/>
      <c r="L4" s="304"/>
      <c r="M4" s="303"/>
      <c r="N4" s="303"/>
      <c r="O4" s="303"/>
      <c r="P4" s="303"/>
      <c r="Q4" s="303"/>
      <c r="R4" s="303"/>
      <c r="S4" s="303"/>
      <c r="T4" s="303"/>
      <c r="U4" s="303"/>
      <c r="V4" s="303"/>
      <c r="W4" s="303"/>
      <c r="X4" s="304"/>
      <c r="Y4" s="298"/>
      <c r="Z4" s="298"/>
      <c r="AA4" s="298"/>
    </row>
    <row r="5" spans="1:27" ht="15">
      <c r="A5" s="298"/>
      <c r="B5" s="377" t="s">
        <v>33</v>
      </c>
      <c r="C5" s="378">
        <f>' Summary'!G8</f>
        <v>0.01</v>
      </c>
      <c r="D5" s="379">
        <f>C5*HCost</f>
        <v>3500</v>
      </c>
      <c r="E5" s="380">
        <f>D5/HSCost</f>
        <v>0.00844451950684006</v>
      </c>
      <c r="F5" s="66"/>
      <c r="G5" s="308"/>
      <c r="H5" s="309" t="s">
        <v>62</v>
      </c>
      <c r="I5" s="310">
        <f>' Summary'!J15</f>
        <v>0.01</v>
      </c>
      <c r="J5" s="311"/>
      <c r="K5" s="311"/>
      <c r="L5" s="312" t="s">
        <v>2</v>
      </c>
      <c r="M5" s="303"/>
      <c r="N5" s="303"/>
      <c r="O5" s="303"/>
      <c r="P5" s="303"/>
      <c r="Q5" s="303"/>
      <c r="R5" s="303"/>
      <c r="S5" s="303"/>
      <c r="T5" s="303"/>
      <c r="U5" s="303"/>
      <c r="V5" s="303"/>
      <c r="W5" s="303"/>
      <c r="X5" s="304"/>
      <c r="Y5" s="298"/>
      <c r="Z5" s="298"/>
      <c r="AA5" s="298"/>
    </row>
    <row r="6" spans="1:27" ht="15">
      <c r="A6" s="298" t="s">
        <v>63</v>
      </c>
      <c r="B6" s="359"/>
      <c r="C6" s="309" t="s">
        <v>142</v>
      </c>
      <c r="D6" s="314">
        <f>SUM(D3:D5)</f>
        <v>357000</v>
      </c>
      <c r="E6" s="380">
        <f>D6/HSCost</f>
        <v>0.8613409896976862</v>
      </c>
      <c r="F6" s="66"/>
      <c r="G6" s="308"/>
      <c r="H6" s="309" t="s">
        <v>64</v>
      </c>
      <c r="I6" s="310">
        <f>' Summary'!J16</f>
        <v>0.01</v>
      </c>
      <c r="J6" s="311"/>
      <c r="K6" s="311"/>
      <c r="L6" s="313" t="s">
        <v>65</v>
      </c>
      <c r="M6" s="314"/>
      <c r="N6" s="314">
        <f>Measures!Q14</f>
        <v>200000</v>
      </c>
      <c r="O6" s="314">
        <f>Measures!R14</f>
        <v>202000</v>
      </c>
      <c r="P6" s="314">
        <f>Measures!S14</f>
        <v>204020</v>
      </c>
      <c r="Q6" s="314">
        <f>Measures!T14</f>
        <v>206060.2</v>
      </c>
      <c r="R6" s="314">
        <f>Measures!U14</f>
        <v>208120.80200000003</v>
      </c>
      <c r="S6" s="314">
        <f>Measures!V14</f>
        <v>210202.01002000002</v>
      </c>
      <c r="T6" s="314">
        <f>Measures!W14</f>
        <v>212304.0301202</v>
      </c>
      <c r="U6" s="314">
        <f>Measures!X14</f>
        <v>214427.07042140202</v>
      </c>
      <c r="V6" s="314">
        <f>Measures!Y14</f>
        <v>216571.34112561605</v>
      </c>
      <c r="W6" s="314">
        <f>Measures!Z14</f>
        <v>218737.05453687222</v>
      </c>
      <c r="X6" s="314">
        <f>SUM(M6:W6)</f>
        <v>2092442.5082240906</v>
      </c>
      <c r="Y6" s="298"/>
      <c r="Z6" s="298"/>
      <c r="AA6" s="298"/>
    </row>
    <row r="7" spans="1:27" ht="15.75" thickBot="1">
      <c r="A7" s="298"/>
      <c r="B7" s="381" t="s">
        <v>66</v>
      </c>
      <c r="C7" s="303"/>
      <c r="D7" s="303"/>
      <c r="E7" s="347"/>
      <c r="F7" s="66"/>
      <c r="G7" s="315"/>
      <c r="H7" s="316" t="s">
        <v>67</v>
      </c>
      <c r="I7" s="317">
        <f>' Summary'!J17</f>
        <v>0.01</v>
      </c>
      <c r="J7" s="311"/>
      <c r="K7" s="311"/>
      <c r="L7" s="313" t="s">
        <v>68</v>
      </c>
      <c r="M7" s="314"/>
      <c r="N7" s="314">
        <f>Measures!Q27</f>
        <v>5000</v>
      </c>
      <c r="O7" s="314">
        <f>Measures!R27</f>
        <v>5050</v>
      </c>
      <c r="P7" s="314">
        <f>Measures!S27</f>
        <v>5100.5</v>
      </c>
      <c r="Q7" s="314">
        <f>Measures!T27</f>
        <v>5151.505</v>
      </c>
      <c r="R7" s="314">
        <f>Measures!U27</f>
        <v>5203.02005</v>
      </c>
      <c r="S7" s="314">
        <f>Measures!V27</f>
        <v>5255.0502505</v>
      </c>
      <c r="T7" s="314">
        <f>Measures!W27</f>
        <v>5307.600753005</v>
      </c>
      <c r="U7" s="314">
        <f>Measures!X27</f>
        <v>5360.676760535051</v>
      </c>
      <c r="V7" s="314">
        <f>Measures!Y27</f>
        <v>5414.283528140401</v>
      </c>
      <c r="W7" s="314">
        <f>Measures!Z27</f>
        <v>5468.426363421805</v>
      </c>
      <c r="X7" s="314">
        <f>SUM(M7:W7)</f>
        <v>52311.06270560226</v>
      </c>
      <c r="Y7" s="298"/>
      <c r="Z7" s="298"/>
      <c r="AA7" s="298"/>
    </row>
    <row r="8" spans="1:27" ht="15.75" thickBot="1">
      <c r="A8" s="298"/>
      <c r="B8" s="377" t="s">
        <v>69</v>
      </c>
      <c r="C8" s="378">
        <f>' Summary'!G14</f>
        <v>0.05</v>
      </c>
      <c r="D8" s="330">
        <f>C8*HCost</f>
        <v>17500</v>
      </c>
      <c r="E8" s="380">
        <f aca="true" t="shared" si="0" ref="E8:E21">D8/HSCost</f>
        <v>0.0422225975342003</v>
      </c>
      <c r="F8" s="66"/>
      <c r="G8" s="299"/>
      <c r="H8" s="299"/>
      <c r="I8" s="299"/>
      <c r="J8" s="298"/>
      <c r="K8" s="298"/>
      <c r="L8" s="313" t="s">
        <v>70</v>
      </c>
      <c r="M8" s="318"/>
      <c r="N8" s="318">
        <f>Measures!Q41</f>
        <v>5000</v>
      </c>
      <c r="O8" s="318">
        <f>Measures!R41</f>
        <v>5050</v>
      </c>
      <c r="P8" s="318">
        <f>Measures!S41</f>
        <v>5100.5</v>
      </c>
      <c r="Q8" s="318">
        <f>Measures!T41</f>
        <v>5151.505</v>
      </c>
      <c r="R8" s="318">
        <f>Measures!U41</f>
        <v>5203.02005</v>
      </c>
      <c r="S8" s="318">
        <f>Measures!V41</f>
        <v>5255.0502505</v>
      </c>
      <c r="T8" s="318">
        <f>Measures!W41</f>
        <v>5307.600753005</v>
      </c>
      <c r="U8" s="318">
        <f>Measures!X41</f>
        <v>5360.676760535051</v>
      </c>
      <c r="V8" s="318">
        <f>Measures!Y41</f>
        <v>5414.283528140401</v>
      </c>
      <c r="W8" s="318">
        <f>Measures!Z41</f>
        <v>5468.426363421805</v>
      </c>
      <c r="X8" s="314">
        <f>SUM(M8:W8)</f>
        <v>52311.06270560226</v>
      </c>
      <c r="Y8" s="298"/>
      <c r="Z8" s="298"/>
      <c r="AA8" s="298"/>
    </row>
    <row r="9" spans="1:27" ht="15">
      <c r="A9" s="298"/>
      <c r="B9" s="377" t="s">
        <v>71</v>
      </c>
      <c r="C9" s="382">
        <f>D9/HCost</f>
        <v>0.014285714285714285</v>
      </c>
      <c r="D9" s="383">
        <f>' Summary'!F12</f>
        <v>5000</v>
      </c>
      <c r="E9" s="380">
        <f t="shared" si="0"/>
        <v>0.012063599295485802</v>
      </c>
      <c r="F9" s="66"/>
      <c r="G9" s="319"/>
      <c r="H9" s="320" t="s">
        <v>72</v>
      </c>
      <c r="I9" s="302"/>
      <c r="J9" s="303"/>
      <c r="K9" s="303"/>
      <c r="L9" s="306" t="s">
        <v>73</v>
      </c>
      <c r="M9" s="314">
        <f>Measures!M14</f>
        <v>5000</v>
      </c>
      <c r="N9" s="314">
        <f aca="true" t="shared" si="1" ref="N9:W9">SUM(N6:N8)</f>
        <v>210000</v>
      </c>
      <c r="O9" s="314">
        <f t="shared" si="1"/>
        <v>212100</v>
      </c>
      <c r="P9" s="314">
        <f t="shared" si="1"/>
        <v>214221</v>
      </c>
      <c r="Q9" s="314">
        <f t="shared" si="1"/>
        <v>216363.21000000002</v>
      </c>
      <c r="R9" s="314">
        <f t="shared" si="1"/>
        <v>218526.8421</v>
      </c>
      <c r="S9" s="314">
        <f t="shared" si="1"/>
        <v>220712.11052100002</v>
      </c>
      <c r="T9" s="314">
        <f t="shared" si="1"/>
        <v>222919.23162621004</v>
      </c>
      <c r="U9" s="314">
        <f t="shared" si="1"/>
        <v>225148.42394247212</v>
      </c>
      <c r="V9" s="314">
        <f t="shared" si="1"/>
        <v>227399.90818189684</v>
      </c>
      <c r="W9" s="314">
        <f t="shared" si="1"/>
        <v>229673.90726371584</v>
      </c>
      <c r="X9" s="314">
        <f>SUM(M9:W9)</f>
        <v>2202064.633635295</v>
      </c>
      <c r="Y9" s="298"/>
      <c r="Z9" s="298"/>
      <c r="AA9" s="298"/>
    </row>
    <row r="10" spans="1:27" ht="15">
      <c r="A10" s="298"/>
      <c r="B10" s="359" t="s">
        <v>74</v>
      </c>
      <c r="C10" s="382">
        <f>' Summary'!G13</f>
        <v>0.05</v>
      </c>
      <c r="D10" s="330">
        <f>D3*C10</f>
        <v>17500</v>
      </c>
      <c r="E10" s="380">
        <f t="shared" si="0"/>
        <v>0.0422225975342003</v>
      </c>
      <c r="F10" s="66"/>
      <c r="G10" s="308"/>
      <c r="H10" s="321"/>
      <c r="I10" s="322"/>
      <c r="J10" s="323"/>
      <c r="K10" s="323"/>
      <c r="L10" s="306"/>
      <c r="M10" s="314"/>
      <c r="N10" s="314"/>
      <c r="O10" s="314"/>
      <c r="P10" s="314"/>
      <c r="Q10" s="314"/>
      <c r="R10" s="314"/>
      <c r="S10" s="314"/>
      <c r="T10" s="314"/>
      <c r="U10" s="314"/>
      <c r="V10" s="314"/>
      <c r="W10" s="314"/>
      <c r="X10" s="324"/>
      <c r="Y10" s="298"/>
      <c r="Z10" s="298"/>
      <c r="AA10" s="298"/>
    </row>
    <row r="11" spans="1:27" ht="15">
      <c r="A11" s="298"/>
      <c r="B11" s="381" t="s">
        <v>76</v>
      </c>
      <c r="C11" s="384">
        <f>D11/HCost</f>
        <v>0.11428571428571428</v>
      </c>
      <c r="D11" s="385">
        <f>SUM(D8:D10)</f>
        <v>40000</v>
      </c>
      <c r="E11" s="380">
        <f t="shared" si="0"/>
        <v>0.09650879436388642</v>
      </c>
      <c r="F11" s="66"/>
      <c r="G11" s="308"/>
      <c r="H11" s="309" t="s">
        <v>2</v>
      </c>
      <c r="I11" s="325">
        <f>Measures!F14+Measures!G14</f>
        <v>205000</v>
      </c>
      <c r="J11" s="326"/>
      <c r="K11" s="326"/>
      <c r="L11" s="312" t="s">
        <v>366</v>
      </c>
      <c r="M11" s="314"/>
      <c r="N11" s="314"/>
      <c r="O11" s="314"/>
      <c r="P11" s="314"/>
      <c r="Q11" s="314"/>
      <c r="R11" s="314"/>
      <c r="S11" s="314"/>
      <c r="T11" s="314"/>
      <c r="U11" s="314"/>
      <c r="V11" s="314"/>
      <c r="W11" s="314"/>
      <c r="X11" s="314"/>
      <c r="Y11" s="298"/>
      <c r="Z11" s="298"/>
      <c r="AA11" s="298"/>
    </row>
    <row r="12" spans="1:27" ht="15">
      <c r="A12" s="298" t="s">
        <v>75</v>
      </c>
      <c r="B12" s="377" t="s">
        <v>38</v>
      </c>
      <c r="C12" s="382">
        <f>D12/HCost</f>
        <v>0.014285714285714285</v>
      </c>
      <c r="D12" s="379">
        <f>' Summary'!F17</f>
        <v>5000</v>
      </c>
      <c r="E12" s="380">
        <f>D12/HSCost</f>
        <v>0.012063599295485802</v>
      </c>
      <c r="F12" s="66"/>
      <c r="G12" s="308"/>
      <c r="H12" s="327" t="s">
        <v>77</v>
      </c>
      <c r="I12" s="328">
        <f>' Summary'!J8</f>
        <v>0.5</v>
      </c>
      <c r="J12" s="329"/>
      <c r="K12" s="329"/>
      <c r="L12" s="313" t="s">
        <v>65</v>
      </c>
      <c r="M12" s="330">
        <f>' Summary'!J$10*M6</f>
        <v>0</v>
      </c>
      <c r="N12" s="330">
        <f>IF(N$2&lt;=Term,ESCOSplit1*N6,0)</f>
        <v>100000</v>
      </c>
      <c r="O12" s="330">
        <f>IF(O$2&lt;=Term,IF(Data!$B$24=TRUE,ESCOSplit1*O6,ESCOSplit1*$N6),0)</f>
        <v>100000</v>
      </c>
      <c r="P12" s="330">
        <f>IF(P$2&lt;=Term,IF(Data!$B$24=TRUE,ESCOSplit1*P6,ESCOSplit1*$N6),0)</f>
        <v>100000</v>
      </c>
      <c r="Q12" s="330">
        <f>IF(Q$2&lt;=Term,IF(Data!$B$24=TRUE,ESCOSplit1*Q6,ESCOSplit1*$N6),0)</f>
        <v>100000</v>
      </c>
      <c r="R12" s="330">
        <f>IF(R$2&lt;=Term,IF(Data!$B$24=TRUE,ESCOSplit1*R6,ESCOSplit1*$N6),0)</f>
        <v>100000</v>
      </c>
      <c r="S12" s="330">
        <f>IF(S$2&lt;=Term,IF(Data!$B$24=TRUE,ESCOSplit1*S6,ESCOSplit1*$N6),0)</f>
        <v>0</v>
      </c>
      <c r="T12" s="330">
        <f>IF(T$2&lt;=Term,IF(Data!$B$24=TRUE,ESCOSplit1*T6,ESCOSplit1*$N6),0)</f>
        <v>0</v>
      </c>
      <c r="U12" s="330">
        <f>IF(U$2&lt;=Term,IF(Data!$B$24=TRUE,ESCOSplit1*U6,ESCOSplit1*$N6),0)</f>
        <v>0</v>
      </c>
      <c r="V12" s="330">
        <f>IF(V$2&lt;=Term,IF(Data!$B$24=TRUE,ESCOSplit1*V6,ESCOSplit1*$N6),0)</f>
        <v>0</v>
      </c>
      <c r="W12" s="330">
        <f>IF(W$2&lt;=Term,IF(Data!$B$24=TRUE,ESCOSplit1*W6,ESCOSplit1*$N6),0)</f>
        <v>0</v>
      </c>
      <c r="X12" s="314">
        <f>SUM(M12:W12)</f>
        <v>500000</v>
      </c>
      <c r="Y12" s="298"/>
      <c r="Z12" s="298"/>
      <c r="AA12" s="298"/>
    </row>
    <row r="13" spans="1:27" ht="15">
      <c r="A13" s="298"/>
      <c r="B13" s="377" t="s">
        <v>40</v>
      </c>
      <c r="C13" s="378">
        <f>' Summary'!G18</f>
        <v>0.01</v>
      </c>
      <c r="D13" s="330">
        <f>C13*(SSCost+HCCost)</f>
        <v>3970</v>
      </c>
      <c r="E13" s="380">
        <f>D13/HSCost</f>
        <v>0.009578497840615726</v>
      </c>
      <c r="F13" s="66"/>
      <c r="G13" s="308"/>
      <c r="H13" s="327" t="s">
        <v>78</v>
      </c>
      <c r="I13" s="331">
        <f>1-I12</f>
        <v>0.5</v>
      </c>
      <c r="J13" s="332"/>
      <c r="K13" s="332"/>
      <c r="L13" s="313" t="s">
        <v>68</v>
      </c>
      <c r="M13" s="330">
        <f>' Summary'!J$10*M7</f>
        <v>0</v>
      </c>
      <c r="N13" s="330">
        <f>IF(N$2&lt;=Term,ESCOSplit1*N7,0)</f>
        <v>2500</v>
      </c>
      <c r="O13" s="330">
        <f>IF(O$2&lt;=Term,IF(Data!$B$24=TRUE,ESCOSplit1*O7,ESCOSplit1*$N7),0)</f>
        <v>2500</v>
      </c>
      <c r="P13" s="330">
        <f>IF(P$2&lt;=Term,IF(Data!$B$24=TRUE,ESCOSplit1*P7,ESCOSplit1*$N7),0)</f>
        <v>2500</v>
      </c>
      <c r="Q13" s="330">
        <f>IF(Q$2&lt;=Term,IF(Data!$B$24=TRUE,ESCOSplit1*Q7,ESCOSplit1*$N7),0)</f>
        <v>2500</v>
      </c>
      <c r="R13" s="330">
        <f>IF(R$2&lt;=Term,IF(Data!$B$24=TRUE,ESCOSplit1*R7,ESCOSplit1*$N7),0)</f>
        <v>2500</v>
      </c>
      <c r="S13" s="330">
        <f>IF(S$2&lt;=Term,IF(Data!$B$24=TRUE,ESCOSplit1*S7,ESCOSplit1*$N7),0)</f>
        <v>0</v>
      </c>
      <c r="T13" s="330">
        <f>IF(T$2&lt;=Term,IF(Data!$B$24=TRUE,ESCOSplit1*T7,ESCOSplit1*$N7),0)</f>
        <v>0</v>
      </c>
      <c r="U13" s="330">
        <f>IF(U$2&lt;=Term,IF(Data!$B$24=TRUE,ESCOSplit1*U7,ESCOSplit1*$N7),0)</f>
        <v>0</v>
      </c>
      <c r="V13" s="330">
        <f>IF(V$2&lt;=Term,IF(Data!$B$24=TRUE,ESCOSplit1*V7,ESCOSplit1*$N7),0)</f>
        <v>0</v>
      </c>
      <c r="W13" s="330">
        <f>IF(W$2&lt;=Term,IF(Data!$B$24=TRUE,ESCOSplit1*W7,ESCOSplit1*$N7),0)</f>
        <v>0</v>
      </c>
      <c r="X13" s="314">
        <f>SUM(M13:W13)</f>
        <v>12500</v>
      </c>
      <c r="Y13" s="298"/>
      <c r="Z13" s="298"/>
      <c r="AA13" s="298"/>
    </row>
    <row r="14" spans="1:27" ht="15.75" thickBot="1">
      <c r="A14" s="299"/>
      <c r="B14" s="377" t="s">
        <v>79</v>
      </c>
      <c r="C14" s="378">
        <f>' Summary'!G19</f>
        <v>0.01</v>
      </c>
      <c r="D14" s="330">
        <f>C14*HCost</f>
        <v>3500</v>
      </c>
      <c r="E14" s="380">
        <f>D14/HSCost</f>
        <v>0.00844451950684006</v>
      </c>
      <c r="F14" s="66"/>
      <c r="G14" s="315"/>
      <c r="H14" s="316" t="s">
        <v>80</v>
      </c>
      <c r="I14" s="317">
        <f>' Summary'!J10</f>
        <v>0.25</v>
      </c>
      <c r="J14" s="333"/>
      <c r="K14" s="333"/>
      <c r="L14" s="313" t="s">
        <v>70</v>
      </c>
      <c r="M14" s="330">
        <f>' Summary'!J$10*M8</f>
        <v>0</v>
      </c>
      <c r="N14" s="318">
        <f>IF(N2&lt;=Term,IF(SMaint=TRUE,ESCOSplit1*N8,0),)</f>
        <v>2500</v>
      </c>
      <c r="O14" s="318">
        <f>IF(O2&lt;=Term,IF(SMaint=TRUE,IF(Data!$B24=TRUE,ESCOSplit1*O8,ESCOSplit1*$N8),0))</f>
        <v>2500</v>
      </c>
      <c r="P14" s="318">
        <f>IF(P2&lt;=Term,IF(SMaint=TRUE,IF(Data!$B24=TRUE,ESCOSplit1*P8,ESCOSplit1*$N8),0))</f>
        <v>2500</v>
      </c>
      <c r="Q14" s="318">
        <f>IF(Q2&lt;=Term,IF(SMaint=TRUE,IF(Data!$B24=TRUE,ESCOSplit1*Q8,ESCOSplit1*$N8),0))</f>
        <v>2500</v>
      </c>
      <c r="R14" s="318">
        <f>IF(R2&lt;=Term,IF(SMaint=TRUE,IF(Data!$B24=TRUE,ESCOSplit1*R8,ESCOSplit1*$N8),0))</f>
        <v>2500</v>
      </c>
      <c r="S14" s="318" t="b">
        <f>IF(S2&lt;=Term,IF(SMaint=TRUE,IF(Data!$B24=TRUE,ESCOSplit1*S8,ESCOSplit1*$N8),0))</f>
        <v>0</v>
      </c>
      <c r="T14" s="318" t="b">
        <f>IF(T2&lt;=Term,IF(SMaint=TRUE,IF(Data!$B24=TRUE,ESCOSplit1*T8,ESCOSplit1*$N8),0))</f>
        <v>0</v>
      </c>
      <c r="U14" s="318" t="b">
        <f>IF(U2&lt;=Term,IF(SMaint=TRUE,IF(Data!$B24=TRUE,ESCOSplit1*U8,ESCOSplit1*$N8),0))</f>
        <v>0</v>
      </c>
      <c r="V14" s="318" t="b">
        <f>IF(V2&lt;=Term,IF(SMaint=TRUE,IF(Data!$B24=TRUE,ESCOSplit1*V8,ESCOSplit1*$N8),0))</f>
        <v>0</v>
      </c>
      <c r="W14" s="318" t="b">
        <f>IF(W2&lt;=Term,IF(SMaint=TRUE,IF(Data!$B24=TRUE,ESCOSplit1*W8,ESCOSplit1*$N8),0))</f>
        <v>0</v>
      </c>
      <c r="X14" s="314">
        <f>SUM(M14:W14)</f>
        <v>12500</v>
      </c>
      <c r="Y14" s="298"/>
      <c r="Z14" s="298"/>
      <c r="AA14" s="298"/>
    </row>
    <row r="15" spans="1:27" ht="15">
      <c r="A15" s="298"/>
      <c r="B15" s="377" t="s">
        <v>44</v>
      </c>
      <c r="C15" s="382">
        <f>D15/HCost</f>
        <v>0.014285714285714285</v>
      </c>
      <c r="D15" s="383">
        <f>' Summary'!F20</f>
        <v>5000</v>
      </c>
      <c r="E15" s="380">
        <f>D15/HSCost</f>
        <v>0.012063599295485802</v>
      </c>
      <c r="F15" s="66"/>
      <c r="G15" s="298"/>
      <c r="H15" s="298"/>
      <c r="I15" s="298"/>
      <c r="J15" s="298"/>
      <c r="K15" s="298"/>
      <c r="L15" s="306" t="s">
        <v>367</v>
      </c>
      <c r="M15" s="314">
        <f>SUM(M12:M14)</f>
        <v>0</v>
      </c>
      <c r="N15" s="314">
        <f aca="true" t="shared" si="2" ref="N15:W15">SUM(N12:N14)</f>
        <v>105000</v>
      </c>
      <c r="O15" s="314">
        <f t="shared" si="2"/>
        <v>105000</v>
      </c>
      <c r="P15" s="314">
        <f t="shared" si="2"/>
        <v>105000</v>
      </c>
      <c r="Q15" s="314">
        <f t="shared" si="2"/>
        <v>105000</v>
      </c>
      <c r="R15" s="314">
        <f t="shared" si="2"/>
        <v>105000</v>
      </c>
      <c r="S15" s="314">
        <f t="shared" si="2"/>
        <v>0</v>
      </c>
      <c r="T15" s="314">
        <f t="shared" si="2"/>
        <v>0</v>
      </c>
      <c r="U15" s="314">
        <f t="shared" si="2"/>
        <v>0</v>
      </c>
      <c r="V15" s="314">
        <f t="shared" si="2"/>
        <v>0</v>
      </c>
      <c r="W15" s="314">
        <f t="shared" si="2"/>
        <v>0</v>
      </c>
      <c r="X15" s="314">
        <f>SUM(M15:W15)</f>
        <v>525000</v>
      </c>
      <c r="Y15" s="298"/>
      <c r="Z15" s="298"/>
      <c r="AA15" s="298"/>
    </row>
    <row r="16" spans="1:27" ht="15">
      <c r="A16" s="298"/>
      <c r="B16" s="377" t="s">
        <v>45</v>
      </c>
      <c r="C16" s="382">
        <f>D16/HCost</f>
        <v>0</v>
      </c>
      <c r="D16" s="379">
        <f>-Debt!B40</f>
        <v>0</v>
      </c>
      <c r="E16" s="380">
        <f>D16/HSCost</f>
        <v>0</v>
      </c>
      <c r="F16" s="66"/>
      <c r="G16" s="298"/>
      <c r="H16" s="298"/>
      <c r="I16" s="298"/>
      <c r="J16" s="298"/>
      <c r="K16" s="298"/>
      <c r="L16" s="306"/>
      <c r="M16" s="314"/>
      <c r="N16" s="314"/>
      <c r="O16" s="314"/>
      <c r="P16" s="314"/>
      <c r="Q16" s="314"/>
      <c r="R16" s="314"/>
      <c r="S16" s="314"/>
      <c r="T16" s="314"/>
      <c r="U16" s="314"/>
      <c r="V16" s="314"/>
      <c r="W16" s="314"/>
      <c r="X16" s="314"/>
      <c r="Y16" s="298"/>
      <c r="Z16" s="298"/>
      <c r="AA16" s="298"/>
    </row>
    <row r="17" spans="1:27" ht="15" customHeight="1" thickBot="1">
      <c r="A17" s="298" t="s">
        <v>81</v>
      </c>
      <c r="B17" s="381" t="s">
        <v>82</v>
      </c>
      <c r="C17" s="384">
        <f>D17/HCost</f>
        <v>0.04991428571428572</v>
      </c>
      <c r="D17" s="386">
        <f>SUM(D12:D16)</f>
        <v>17470</v>
      </c>
      <c r="E17" s="380">
        <f t="shared" si="0"/>
        <v>0.04215021593842739</v>
      </c>
      <c r="F17" s="66"/>
      <c r="G17" s="298"/>
      <c r="H17" s="298"/>
      <c r="I17" s="298"/>
      <c r="J17" s="298"/>
      <c r="K17" s="298"/>
      <c r="L17" s="334"/>
      <c r="M17" s="330"/>
      <c r="N17" s="330"/>
      <c r="O17" s="330"/>
      <c r="P17" s="330"/>
      <c r="Q17" s="330"/>
      <c r="R17" s="330"/>
      <c r="S17" s="330"/>
      <c r="T17" s="330"/>
      <c r="U17" s="330"/>
      <c r="V17" s="330"/>
      <c r="W17" s="330"/>
      <c r="X17" s="314"/>
      <c r="Y17" s="298"/>
      <c r="Z17" s="298"/>
      <c r="AA17" s="298"/>
    </row>
    <row r="18" spans="1:27" ht="16.5" thickBot="1" thickTop="1">
      <c r="A18" s="299"/>
      <c r="B18" s="387"/>
      <c r="C18" s="382"/>
      <c r="D18" s="406"/>
      <c r="E18" s="380"/>
      <c r="F18" s="66"/>
      <c r="G18" s="298"/>
      <c r="H18" s="298"/>
      <c r="I18" s="298"/>
      <c r="J18" s="298"/>
      <c r="K18" s="298"/>
      <c r="L18" s="312" t="s">
        <v>364</v>
      </c>
      <c r="M18" s="314"/>
      <c r="N18" s="314"/>
      <c r="O18" s="314"/>
      <c r="P18" s="314"/>
      <c r="Q18" s="314"/>
      <c r="R18" s="314"/>
      <c r="S18" s="314"/>
      <c r="T18" s="314"/>
      <c r="U18" s="314"/>
      <c r="V18" s="314"/>
      <c r="W18" s="314"/>
      <c r="X18" s="314"/>
      <c r="Y18" s="298"/>
      <c r="Z18" s="298"/>
      <c r="AA18" s="298"/>
    </row>
    <row r="19" spans="1:27" ht="15.75" thickTop="1">
      <c r="A19" s="298" t="s">
        <v>83</v>
      </c>
      <c r="B19" s="381" t="s">
        <v>84</v>
      </c>
      <c r="C19" s="382">
        <f>D19/HCost</f>
        <v>1.1842</v>
      </c>
      <c r="D19" s="385">
        <f>HCCost+SSCost+SCost</f>
        <v>414470</v>
      </c>
      <c r="E19" s="380">
        <f t="shared" si="0"/>
        <v>1</v>
      </c>
      <c r="F19" s="142"/>
      <c r="G19" s="298"/>
      <c r="H19" s="298"/>
      <c r="I19" s="298"/>
      <c r="J19" s="298"/>
      <c r="K19" s="298"/>
      <c r="L19" s="312"/>
      <c r="M19" s="314"/>
      <c r="N19" s="314"/>
      <c r="O19" s="314"/>
      <c r="P19" s="314"/>
      <c r="Q19" s="314"/>
      <c r="R19" s="314"/>
      <c r="S19" s="314"/>
      <c r="T19" s="314"/>
      <c r="U19" s="314"/>
      <c r="V19" s="314"/>
      <c r="W19" s="314"/>
      <c r="X19" s="314"/>
      <c r="Y19" s="298"/>
      <c r="Z19" s="298"/>
      <c r="AA19" s="298"/>
    </row>
    <row r="20" spans="1:27" ht="15">
      <c r="A20" s="299"/>
      <c r="B20" s="67" t="s">
        <v>295</v>
      </c>
      <c r="D20" s="407">
        <f>Inputs!D29*(SCost)</f>
        <v>174.70000000000002</v>
      </c>
      <c r="E20" s="380"/>
      <c r="F20" s="66"/>
      <c r="G20" s="298"/>
      <c r="H20" s="298"/>
      <c r="I20" s="298"/>
      <c r="J20" s="298"/>
      <c r="K20" s="298"/>
      <c r="L20" s="313" t="s">
        <v>65</v>
      </c>
      <c r="M20" s="314">
        <f>M12</f>
        <v>0</v>
      </c>
      <c r="N20" s="314">
        <f aca="true" t="shared" si="3" ref="N20:W20">N12</f>
        <v>100000</v>
      </c>
      <c r="O20" s="314">
        <f t="shared" si="3"/>
        <v>100000</v>
      </c>
      <c r="P20" s="314">
        <f t="shared" si="3"/>
        <v>100000</v>
      </c>
      <c r="Q20" s="314">
        <f t="shared" si="3"/>
        <v>100000</v>
      </c>
      <c r="R20" s="314">
        <f t="shared" si="3"/>
        <v>100000</v>
      </c>
      <c r="S20" s="314">
        <f t="shared" si="3"/>
        <v>0</v>
      </c>
      <c r="T20" s="314">
        <f t="shared" si="3"/>
        <v>0</v>
      </c>
      <c r="U20" s="314">
        <f t="shared" si="3"/>
        <v>0</v>
      </c>
      <c r="V20" s="314">
        <f t="shared" si="3"/>
        <v>0</v>
      </c>
      <c r="W20" s="314">
        <f t="shared" si="3"/>
        <v>0</v>
      </c>
      <c r="X20" s="314">
        <f>SUM(M20:W20)</f>
        <v>500000</v>
      </c>
      <c r="Y20" s="303"/>
      <c r="Z20" s="298"/>
      <c r="AA20" s="298"/>
    </row>
    <row r="21" spans="1:27" ht="21.75" customHeight="1">
      <c r="A21" s="388" t="s">
        <v>227</v>
      </c>
      <c r="B21" s="381" t="s">
        <v>85</v>
      </c>
      <c r="C21" s="303"/>
      <c r="D21" s="389">
        <f>D19+D20</f>
        <v>414644.7</v>
      </c>
      <c r="E21" s="380">
        <f t="shared" si="0"/>
        <v>1.0004215021593843</v>
      </c>
      <c r="F21" s="66"/>
      <c r="G21" s="298"/>
      <c r="H21" s="298"/>
      <c r="I21" s="298"/>
      <c r="J21" s="298"/>
      <c r="K21" s="298"/>
      <c r="L21" s="313" t="s">
        <v>68</v>
      </c>
      <c r="M21" s="314">
        <f>M13</f>
        <v>0</v>
      </c>
      <c r="N21" s="314">
        <f aca="true" t="shared" si="4" ref="N21:W21">N13</f>
        <v>2500</v>
      </c>
      <c r="O21" s="314">
        <f t="shared" si="4"/>
        <v>2500</v>
      </c>
      <c r="P21" s="314">
        <f t="shared" si="4"/>
        <v>2500</v>
      </c>
      <c r="Q21" s="314">
        <f t="shared" si="4"/>
        <v>2500</v>
      </c>
      <c r="R21" s="314">
        <f t="shared" si="4"/>
        <v>2500</v>
      </c>
      <c r="S21" s="314">
        <f t="shared" si="4"/>
        <v>0</v>
      </c>
      <c r="T21" s="314">
        <f t="shared" si="4"/>
        <v>0</v>
      </c>
      <c r="U21" s="314">
        <f t="shared" si="4"/>
        <v>0</v>
      </c>
      <c r="V21" s="314">
        <f t="shared" si="4"/>
        <v>0</v>
      </c>
      <c r="W21" s="314">
        <f t="shared" si="4"/>
        <v>0</v>
      </c>
      <c r="X21" s="314">
        <f>SUM(M21:W21)</f>
        <v>12500</v>
      </c>
      <c r="Y21" s="298"/>
      <c r="Z21" s="298"/>
      <c r="AA21" s="298"/>
    </row>
    <row r="22" spans="1:27" ht="15.75" thickBot="1">
      <c r="A22" s="390"/>
      <c r="B22" s="315"/>
      <c r="C22" s="399"/>
      <c r="D22" s="399"/>
      <c r="E22" s="400"/>
      <c r="F22" s="66"/>
      <c r="G22" s="298"/>
      <c r="H22" s="298"/>
      <c r="I22" s="298"/>
      <c r="J22" s="298"/>
      <c r="K22" s="298"/>
      <c r="L22" s="313" t="s">
        <v>70</v>
      </c>
      <c r="M22" s="314">
        <f>M14</f>
        <v>0</v>
      </c>
      <c r="N22" s="318">
        <f aca="true" t="shared" si="5" ref="N22:W22">N14</f>
        <v>2500</v>
      </c>
      <c r="O22" s="318">
        <f t="shared" si="5"/>
        <v>2500</v>
      </c>
      <c r="P22" s="318">
        <f t="shared" si="5"/>
        <v>2500</v>
      </c>
      <c r="Q22" s="318">
        <f t="shared" si="5"/>
        <v>2500</v>
      </c>
      <c r="R22" s="318">
        <f t="shared" si="5"/>
        <v>2500</v>
      </c>
      <c r="S22" s="318" t="b">
        <f t="shared" si="5"/>
        <v>0</v>
      </c>
      <c r="T22" s="318" t="b">
        <f t="shared" si="5"/>
        <v>0</v>
      </c>
      <c r="U22" s="318" t="b">
        <f t="shared" si="5"/>
        <v>0</v>
      </c>
      <c r="V22" s="318" t="b">
        <f t="shared" si="5"/>
        <v>0</v>
      </c>
      <c r="W22" s="318" t="b">
        <f t="shared" si="5"/>
        <v>0</v>
      </c>
      <c r="X22" s="314">
        <f>SUM(M22:W22)</f>
        <v>12500</v>
      </c>
      <c r="Y22" s="298"/>
      <c r="Z22" s="298"/>
      <c r="AA22" s="298"/>
    </row>
    <row r="23" spans="1:27" ht="15">
      <c r="A23" s="299"/>
      <c r="B23" s="298"/>
      <c r="C23" s="298"/>
      <c r="D23" s="298"/>
      <c r="E23" s="298"/>
      <c r="F23" s="66"/>
      <c r="G23" s="298"/>
      <c r="H23" s="298"/>
      <c r="I23" s="298"/>
      <c r="J23" s="298"/>
      <c r="K23" s="298"/>
      <c r="L23" s="306" t="s">
        <v>365</v>
      </c>
      <c r="M23" s="314">
        <f aca="true" t="shared" si="6" ref="M23:W23">SUM(M20:M22)</f>
        <v>0</v>
      </c>
      <c r="N23" s="314">
        <f t="shared" si="6"/>
        <v>105000</v>
      </c>
      <c r="O23" s="314">
        <f t="shared" si="6"/>
        <v>105000</v>
      </c>
      <c r="P23" s="314">
        <f t="shared" si="6"/>
        <v>105000</v>
      </c>
      <c r="Q23" s="314">
        <f t="shared" si="6"/>
        <v>105000</v>
      </c>
      <c r="R23" s="314">
        <f t="shared" si="6"/>
        <v>105000</v>
      </c>
      <c r="S23" s="314">
        <f t="shared" si="6"/>
        <v>0</v>
      </c>
      <c r="T23" s="314">
        <f t="shared" si="6"/>
        <v>0</v>
      </c>
      <c r="U23" s="314">
        <f t="shared" si="6"/>
        <v>0</v>
      </c>
      <c r="V23" s="314">
        <f t="shared" si="6"/>
        <v>0</v>
      </c>
      <c r="W23" s="314">
        <f t="shared" si="6"/>
        <v>0</v>
      </c>
      <c r="X23" s="314">
        <f>SUM(M23:W23)</f>
        <v>525000</v>
      </c>
      <c r="Y23" s="298"/>
      <c r="Z23" s="298"/>
      <c r="AA23" s="298"/>
    </row>
    <row r="24" spans="2:27" ht="15">
      <c r="B24" s="66"/>
      <c r="C24" s="66"/>
      <c r="D24" s="66"/>
      <c r="E24" s="66"/>
      <c r="F24" s="66"/>
      <c r="G24" s="298"/>
      <c r="H24" s="298"/>
      <c r="I24" s="298"/>
      <c r="J24" s="298"/>
      <c r="K24" s="298"/>
      <c r="L24" s="299"/>
      <c r="M24" s="335"/>
      <c r="N24" s="335"/>
      <c r="O24" s="335"/>
      <c r="P24" s="335"/>
      <c r="Q24" s="335"/>
      <c r="R24" s="335"/>
      <c r="S24" s="335"/>
      <c r="T24" s="335"/>
      <c r="U24" s="335"/>
      <c r="V24" s="335"/>
      <c r="W24" s="335"/>
      <c r="X24" s="335"/>
      <c r="Y24" s="298"/>
      <c r="Z24" s="298"/>
      <c r="AA24" s="298"/>
    </row>
    <row r="25" spans="1:27" ht="15">
      <c r="A25" s="66"/>
      <c r="G25" s="299"/>
      <c r="H25" s="299"/>
      <c r="I25" s="298"/>
      <c r="J25" s="298"/>
      <c r="K25" s="298"/>
      <c r="L25" s="336" t="s">
        <v>86</v>
      </c>
      <c r="M25" s="335"/>
      <c r="N25" s="335"/>
      <c r="O25" s="335"/>
      <c r="P25" s="335"/>
      <c r="Q25" s="335"/>
      <c r="R25" s="335"/>
      <c r="S25" s="335"/>
      <c r="T25" s="335"/>
      <c r="U25" s="335"/>
      <c r="V25" s="335"/>
      <c r="W25" s="335"/>
      <c r="X25" s="335"/>
      <c r="Y25" s="298"/>
      <c r="Z25" s="298"/>
      <c r="AA25" s="298"/>
    </row>
    <row r="26" spans="1:27" ht="15">
      <c r="A26" s="66"/>
      <c r="G26" s="299"/>
      <c r="H26" s="299"/>
      <c r="I26" s="333"/>
      <c r="J26" s="298"/>
      <c r="K26" s="298"/>
      <c r="L26" s="313" t="s">
        <v>65</v>
      </c>
      <c r="M26" s="335">
        <f aca="true" t="shared" si="7" ref="M26:W26">M6-M20</f>
        <v>0</v>
      </c>
      <c r="N26" s="335">
        <f t="shared" si="7"/>
        <v>100000</v>
      </c>
      <c r="O26" s="335">
        <f t="shared" si="7"/>
        <v>102000</v>
      </c>
      <c r="P26" s="335">
        <f t="shared" si="7"/>
        <v>104020</v>
      </c>
      <c r="Q26" s="335">
        <f t="shared" si="7"/>
        <v>106060.20000000001</v>
      </c>
      <c r="R26" s="335">
        <f t="shared" si="7"/>
        <v>108120.80200000003</v>
      </c>
      <c r="S26" s="335">
        <f t="shared" si="7"/>
        <v>210202.01002000002</v>
      </c>
      <c r="T26" s="335">
        <f t="shared" si="7"/>
        <v>212304.0301202</v>
      </c>
      <c r="U26" s="335">
        <f t="shared" si="7"/>
        <v>214427.07042140202</v>
      </c>
      <c r="V26" s="335">
        <f t="shared" si="7"/>
        <v>216571.34112561605</v>
      </c>
      <c r="W26" s="335">
        <f t="shared" si="7"/>
        <v>218737.05453687222</v>
      </c>
      <c r="X26" s="314">
        <f>SUM(M26:W26)</f>
        <v>1592442.5082240906</v>
      </c>
      <c r="Y26" s="298"/>
      <c r="Z26" s="298"/>
      <c r="AA26" s="298"/>
    </row>
    <row r="27" spans="1:27" ht="15">
      <c r="A27" s="66"/>
      <c r="G27" s="299"/>
      <c r="H27" s="299"/>
      <c r="I27" s="303"/>
      <c r="J27" s="298"/>
      <c r="K27" s="298"/>
      <c r="L27" s="313" t="s">
        <v>68</v>
      </c>
      <c r="M27" s="335">
        <f aca="true" t="shared" si="8" ref="M27:W27">M7-M21</f>
        <v>0</v>
      </c>
      <c r="N27" s="335">
        <f t="shared" si="8"/>
        <v>2500</v>
      </c>
      <c r="O27" s="335">
        <f t="shared" si="8"/>
        <v>2550</v>
      </c>
      <c r="P27" s="335">
        <f t="shared" si="8"/>
        <v>2600.5</v>
      </c>
      <c r="Q27" s="335">
        <f t="shared" si="8"/>
        <v>2651.505</v>
      </c>
      <c r="R27" s="335">
        <f t="shared" si="8"/>
        <v>2703.02005</v>
      </c>
      <c r="S27" s="335">
        <f t="shared" si="8"/>
        <v>5255.0502505</v>
      </c>
      <c r="T27" s="335">
        <f t="shared" si="8"/>
        <v>5307.600753005</v>
      </c>
      <c r="U27" s="335">
        <f t="shared" si="8"/>
        <v>5360.676760535051</v>
      </c>
      <c r="V27" s="335">
        <f t="shared" si="8"/>
        <v>5414.283528140401</v>
      </c>
      <c r="W27" s="335">
        <f t="shared" si="8"/>
        <v>5468.426363421805</v>
      </c>
      <c r="X27" s="314">
        <f>SUM(M27:W27)</f>
        <v>39811.062705602264</v>
      </c>
      <c r="Y27" s="298"/>
      <c r="Z27" s="298"/>
      <c r="AA27" s="298"/>
    </row>
    <row r="28" spans="1:27" ht="15">
      <c r="A28" s="66"/>
      <c r="G28" s="299"/>
      <c r="H28" s="299"/>
      <c r="I28" s="303"/>
      <c r="J28" s="298"/>
      <c r="K28" s="298"/>
      <c r="L28" s="313" t="s">
        <v>70</v>
      </c>
      <c r="M28" s="337">
        <f aca="true" t="shared" si="9" ref="M28:W28">M8-M22</f>
        <v>0</v>
      </c>
      <c r="N28" s="337">
        <f t="shared" si="9"/>
        <v>2500</v>
      </c>
      <c r="O28" s="337">
        <f t="shared" si="9"/>
        <v>2550</v>
      </c>
      <c r="P28" s="337">
        <f t="shared" si="9"/>
        <v>2600.5</v>
      </c>
      <c r="Q28" s="337">
        <f t="shared" si="9"/>
        <v>2651.505</v>
      </c>
      <c r="R28" s="337">
        <f t="shared" si="9"/>
        <v>2703.02005</v>
      </c>
      <c r="S28" s="337">
        <f t="shared" si="9"/>
        <v>5255.0502505</v>
      </c>
      <c r="T28" s="337">
        <f t="shared" si="9"/>
        <v>5307.600753005</v>
      </c>
      <c r="U28" s="337">
        <f t="shared" si="9"/>
        <v>5360.676760535051</v>
      </c>
      <c r="V28" s="337">
        <f t="shared" si="9"/>
        <v>5414.283528140401</v>
      </c>
      <c r="W28" s="337">
        <f t="shared" si="9"/>
        <v>5468.426363421805</v>
      </c>
      <c r="X28" s="314">
        <f>SUM(M28:W28)</f>
        <v>39811.062705602264</v>
      </c>
      <c r="Y28" s="298"/>
      <c r="Z28" s="298"/>
      <c r="AA28" s="298"/>
    </row>
    <row r="29" spans="1:27" ht="15">
      <c r="A29" s="66"/>
      <c r="G29" s="299"/>
      <c r="H29" s="299"/>
      <c r="I29" s="303"/>
      <c r="J29" s="298"/>
      <c r="K29" s="298"/>
      <c r="L29" s="338" t="s">
        <v>93</v>
      </c>
      <c r="M29" s="339">
        <f aca="true" t="shared" si="10" ref="M29:W29">SUM(M26:M28)</f>
        <v>0</v>
      </c>
      <c r="N29" s="339">
        <f t="shared" si="10"/>
        <v>105000</v>
      </c>
      <c r="O29" s="339">
        <f t="shared" si="10"/>
        <v>107100</v>
      </c>
      <c r="P29" s="339">
        <f t="shared" si="10"/>
        <v>109221</v>
      </c>
      <c r="Q29" s="339">
        <f t="shared" si="10"/>
        <v>111363.21000000002</v>
      </c>
      <c r="R29" s="339">
        <f t="shared" si="10"/>
        <v>113526.84210000004</v>
      </c>
      <c r="S29" s="339">
        <f t="shared" si="10"/>
        <v>220712.11052100002</v>
      </c>
      <c r="T29" s="339">
        <f t="shared" si="10"/>
        <v>222919.23162621004</v>
      </c>
      <c r="U29" s="339">
        <f t="shared" si="10"/>
        <v>225148.42394247212</v>
      </c>
      <c r="V29" s="339">
        <f t="shared" si="10"/>
        <v>227399.90818189684</v>
      </c>
      <c r="W29" s="339">
        <f t="shared" si="10"/>
        <v>229673.90726371584</v>
      </c>
      <c r="X29" s="314">
        <f>SUM(M29:W29)</f>
        <v>1672064.6336352949</v>
      </c>
      <c r="Y29" s="298"/>
      <c r="Z29" s="298"/>
      <c r="AA29" s="298"/>
    </row>
    <row r="30" spans="1:27" ht="15">
      <c r="A30" s="69"/>
      <c r="G30" s="299"/>
      <c r="H30" s="299"/>
      <c r="I30" s="303"/>
      <c r="J30" s="333"/>
      <c r="K30" s="333"/>
      <c r="L30" s="299"/>
      <c r="M30" s="299"/>
      <c r="N30" s="299"/>
      <c r="O30" s="299"/>
      <c r="P30" s="299"/>
      <c r="Q30" s="299"/>
      <c r="R30" s="299"/>
      <c r="S30" s="299"/>
      <c r="T30" s="299"/>
      <c r="U30" s="299"/>
      <c r="V30" s="299"/>
      <c r="W30" s="299"/>
      <c r="X30" s="299"/>
      <c r="Y30" s="298"/>
      <c r="Z30" s="298"/>
      <c r="AA30" s="298"/>
    </row>
    <row r="31" spans="1:27" ht="15">
      <c r="A31" s="69"/>
      <c r="G31" s="299"/>
      <c r="H31" s="299"/>
      <c r="I31" s="303"/>
      <c r="J31" s="303"/>
      <c r="K31" s="303"/>
      <c r="L31" s="299"/>
      <c r="M31" s="299"/>
      <c r="N31" s="299"/>
      <c r="O31" s="299"/>
      <c r="P31" s="299"/>
      <c r="Q31" s="299"/>
      <c r="R31" s="299"/>
      <c r="S31" s="299"/>
      <c r="T31" s="299"/>
      <c r="U31" s="299"/>
      <c r="V31" s="299"/>
      <c r="W31" s="299"/>
      <c r="X31" s="299"/>
      <c r="Y31" s="298"/>
      <c r="Z31" s="298"/>
      <c r="AA31" s="298"/>
    </row>
    <row r="32" spans="1:27" ht="15.75" thickBot="1">
      <c r="A32" s="69"/>
      <c r="G32" s="299"/>
      <c r="H32" s="299"/>
      <c r="I32" s="303"/>
      <c r="J32" s="303"/>
      <c r="K32" s="303"/>
      <c r="L32" s="303"/>
      <c r="M32" s="303"/>
      <c r="N32" s="303"/>
      <c r="O32" s="298"/>
      <c r="P32" s="298"/>
      <c r="Q32" s="298"/>
      <c r="R32" s="298"/>
      <c r="S32" s="298"/>
      <c r="T32" s="298"/>
      <c r="U32" s="298"/>
      <c r="V32" s="298"/>
      <c r="W32" s="298"/>
      <c r="X32" s="298"/>
      <c r="Y32" s="298"/>
      <c r="Z32" s="298"/>
      <c r="AA32" s="298"/>
    </row>
    <row r="33" spans="1:27" s="72" customFormat="1" ht="15">
      <c r="A33" s="69"/>
      <c r="G33" s="340"/>
      <c r="H33" s="340"/>
      <c r="I33" s="303"/>
      <c r="J33" s="303"/>
      <c r="K33" s="303"/>
      <c r="L33" s="341"/>
      <c r="M33" s="342" t="s">
        <v>87</v>
      </c>
      <c r="N33" s="343"/>
      <c r="O33" s="343"/>
      <c r="P33" s="343"/>
      <c r="Q33" s="344"/>
      <c r="R33" s="298"/>
      <c r="S33" s="298"/>
      <c r="T33" s="298"/>
      <c r="U33" s="298"/>
      <c r="V33" s="298"/>
      <c r="W33" s="298"/>
      <c r="X33" s="298"/>
      <c r="Y33" s="298"/>
      <c r="Z33" s="298"/>
      <c r="AA33" s="298"/>
    </row>
    <row r="34" spans="1:27" s="72" customFormat="1" ht="15">
      <c r="A34" s="69"/>
      <c r="G34" s="340"/>
      <c r="H34" s="340"/>
      <c r="I34" s="303"/>
      <c r="J34" s="303"/>
      <c r="K34" s="303"/>
      <c r="L34" s="345"/>
      <c r="M34" s="309" t="s">
        <v>88</v>
      </c>
      <c r="N34" s="346">
        <f>(HSCost)/HCost</f>
        <v>1.1842</v>
      </c>
      <c r="O34" s="333"/>
      <c r="P34" s="333"/>
      <c r="Q34" s="347"/>
      <c r="R34" s="345"/>
      <c r="S34" s="348"/>
      <c r="T34" s="348"/>
      <c r="U34" s="348"/>
      <c r="V34" s="348"/>
      <c r="W34" s="348"/>
      <c r="X34" s="349"/>
      <c r="Y34" s="298"/>
      <c r="Z34" s="298"/>
      <c r="AA34" s="298"/>
    </row>
    <row r="35" spans="1:27" s="72" customFormat="1" ht="45">
      <c r="A35" s="69"/>
      <c r="G35" s="340"/>
      <c r="H35" s="340"/>
      <c r="I35" s="303"/>
      <c r="J35" s="303"/>
      <c r="K35" s="303"/>
      <c r="L35" s="350" t="s">
        <v>47</v>
      </c>
      <c r="M35" s="351" t="s">
        <v>89</v>
      </c>
      <c r="N35" s="351" t="s">
        <v>90</v>
      </c>
      <c r="O35" s="351" t="s">
        <v>52</v>
      </c>
      <c r="P35" s="352" t="s">
        <v>91</v>
      </c>
      <c r="Q35" s="353" t="s">
        <v>92</v>
      </c>
      <c r="R35" s="345"/>
      <c r="S35" s="348"/>
      <c r="T35" s="348"/>
      <c r="U35" s="348"/>
      <c r="V35" s="348"/>
      <c r="W35" s="348"/>
      <c r="X35" s="349"/>
      <c r="Y35" s="298"/>
      <c r="Z35" s="298"/>
      <c r="AA35" s="298"/>
    </row>
    <row r="36" spans="1:27" s="72" customFormat="1" ht="15">
      <c r="A36" s="69"/>
      <c r="G36" s="340"/>
      <c r="H36" s="340"/>
      <c r="I36" s="303"/>
      <c r="J36" s="303"/>
      <c r="K36" s="303"/>
      <c r="L36" s="354">
        <f>Measures!B4</f>
        <v>1</v>
      </c>
      <c r="M36" s="355">
        <f>Measures!C4*OHFactor*(1+Profit)</f>
        <v>455917.00000000006</v>
      </c>
      <c r="N36" s="356">
        <f>Measures!F4+Measures!G4</f>
        <v>205000</v>
      </c>
      <c r="O36" s="357">
        <f aca="true" t="shared" si="11" ref="O36:O46">IF(N36=0,0,M36/N36)</f>
        <v>2.223985365853659</v>
      </c>
      <c r="P36" s="333">
        <f>N36+Measures!H4</f>
        <v>210000</v>
      </c>
      <c r="Q36" s="358">
        <f aca="true" t="shared" si="12" ref="Q36:Q46">IF(P36=0,0,M36/P36)</f>
        <v>2.171033333333334</v>
      </c>
      <c r="R36" s="359">
        <f>1000*OHFactor</f>
        <v>1184.1999999999998</v>
      </c>
      <c r="S36" s="355"/>
      <c r="T36" s="355"/>
      <c r="U36" s="355"/>
      <c r="V36" s="355"/>
      <c r="W36" s="355"/>
      <c r="X36" s="349"/>
      <c r="Y36" s="298"/>
      <c r="Z36" s="298"/>
      <c r="AA36" s="298"/>
    </row>
    <row r="37" spans="1:27" s="72" customFormat="1" ht="15">
      <c r="A37" s="69"/>
      <c r="G37" s="340"/>
      <c r="H37" s="340"/>
      <c r="I37" s="303"/>
      <c r="J37" s="303"/>
      <c r="K37" s="303"/>
      <c r="L37" s="354">
        <f>Measures!B5</f>
        <v>0</v>
      </c>
      <c r="M37" s="355">
        <f>Measures!C5*OHFactor*(1+Profit)</f>
        <v>0</v>
      </c>
      <c r="N37" s="356">
        <f>Measures!F5+Measures!G5</f>
        <v>0</v>
      </c>
      <c r="O37" s="357">
        <f t="shared" si="11"/>
        <v>0</v>
      </c>
      <c r="P37" s="333">
        <f>N37+Measures!H5</f>
        <v>0</v>
      </c>
      <c r="Q37" s="358">
        <f t="shared" si="12"/>
        <v>0</v>
      </c>
      <c r="R37" s="359">
        <f>0.1*R36</f>
        <v>118.41999999999999</v>
      </c>
      <c r="S37" s="298"/>
      <c r="T37" s="298"/>
      <c r="U37" s="298"/>
      <c r="V37" s="298"/>
      <c r="W37" s="298"/>
      <c r="X37" s="298"/>
      <c r="Y37" s="298"/>
      <c r="Z37" s="298"/>
      <c r="AA37" s="298"/>
    </row>
    <row r="38" spans="1:27" s="72" customFormat="1" ht="15">
      <c r="A38" s="69"/>
      <c r="G38" s="340"/>
      <c r="H38" s="340"/>
      <c r="I38" s="303"/>
      <c r="J38" s="303"/>
      <c r="K38" s="303"/>
      <c r="L38" s="354">
        <f>Measures!B6</f>
        <v>0</v>
      </c>
      <c r="M38" s="355">
        <f>Measures!C6*OHFactor*(1+Profit)</f>
        <v>0</v>
      </c>
      <c r="N38" s="356">
        <f>Measures!F6+Measures!G6</f>
        <v>0</v>
      </c>
      <c r="O38" s="357">
        <f t="shared" si="11"/>
        <v>0</v>
      </c>
      <c r="P38" s="333">
        <f>N38+Measures!H6</f>
        <v>0</v>
      </c>
      <c r="Q38" s="358">
        <f t="shared" si="12"/>
        <v>0</v>
      </c>
      <c r="R38" s="359">
        <f>SUM(R36:R37)</f>
        <v>1302.62</v>
      </c>
      <c r="S38" s="299"/>
      <c r="T38" s="299"/>
      <c r="U38" s="299"/>
      <c r="V38" s="299"/>
      <c r="W38" s="299"/>
      <c r="X38" s="299"/>
      <c r="Y38" s="298"/>
      <c r="Z38" s="298"/>
      <c r="AA38" s="298"/>
    </row>
    <row r="39" spans="1:27" s="72" customFormat="1" ht="15">
      <c r="A39" s="69"/>
      <c r="B39" s="73"/>
      <c r="C39" s="73"/>
      <c r="D39" s="71"/>
      <c r="E39" s="70"/>
      <c r="G39" s="360"/>
      <c r="H39" s="303"/>
      <c r="I39" s="303"/>
      <c r="J39" s="303"/>
      <c r="K39" s="303"/>
      <c r="L39" s="354">
        <f>Measures!B7</f>
        <v>0</v>
      </c>
      <c r="M39" s="355">
        <f>Measures!C7*OHFactor*(1+Profit)</f>
        <v>0</v>
      </c>
      <c r="N39" s="356">
        <f>Measures!F7+Measures!G7</f>
        <v>0</v>
      </c>
      <c r="O39" s="357">
        <f t="shared" si="11"/>
        <v>0</v>
      </c>
      <c r="P39" s="333">
        <f>N39+Measures!H7</f>
        <v>0</v>
      </c>
      <c r="Q39" s="358">
        <f t="shared" si="12"/>
        <v>0</v>
      </c>
      <c r="R39" s="359"/>
      <c r="S39" s="348"/>
      <c r="T39" s="348"/>
      <c r="U39" s="348"/>
      <c r="V39" s="348"/>
      <c r="W39" s="348"/>
      <c r="X39" s="349"/>
      <c r="Y39" s="298"/>
      <c r="Z39" s="298"/>
      <c r="AA39" s="298"/>
    </row>
    <row r="40" spans="1:27" s="72" customFormat="1" ht="15">
      <c r="A40" s="69"/>
      <c r="B40" s="74"/>
      <c r="C40" s="75"/>
      <c r="D40" s="74"/>
      <c r="E40" s="74"/>
      <c r="G40" s="340"/>
      <c r="H40" s="340"/>
      <c r="I40" s="340"/>
      <c r="J40" s="303"/>
      <c r="K40" s="303"/>
      <c r="L40" s="354">
        <f>Measures!B8</f>
        <v>0</v>
      </c>
      <c r="M40" s="355">
        <f>Measures!C8*OHFactor*(1+Profit)</f>
        <v>0</v>
      </c>
      <c r="N40" s="356">
        <f>Measures!F8+Measures!G8</f>
        <v>0</v>
      </c>
      <c r="O40" s="357">
        <f t="shared" si="11"/>
        <v>0</v>
      </c>
      <c r="P40" s="333">
        <f>N40+Measures!H8</f>
        <v>0</v>
      </c>
      <c r="Q40" s="358">
        <f t="shared" si="12"/>
        <v>0</v>
      </c>
      <c r="R40" s="359"/>
      <c r="S40" s="298"/>
      <c r="T40" s="298"/>
      <c r="U40" s="298"/>
      <c r="V40" s="298"/>
      <c r="W40" s="298"/>
      <c r="X40" s="298"/>
      <c r="Y40" s="298"/>
      <c r="Z40" s="298"/>
      <c r="AA40" s="298"/>
    </row>
    <row r="41" spans="1:27" s="72" customFormat="1" ht="15">
      <c r="A41" s="69"/>
      <c r="B41" s="74"/>
      <c r="C41" s="75"/>
      <c r="D41" s="74"/>
      <c r="E41" s="74"/>
      <c r="G41" s="340"/>
      <c r="H41" s="340"/>
      <c r="I41" s="340"/>
      <c r="J41" s="303"/>
      <c r="K41" s="303"/>
      <c r="L41" s="354">
        <f>Measures!B9</f>
        <v>0</v>
      </c>
      <c r="M41" s="355">
        <f>Measures!C9*OHFactor*(1+Profit)</f>
        <v>0</v>
      </c>
      <c r="N41" s="356">
        <f>Measures!F9+Measures!G9</f>
        <v>0</v>
      </c>
      <c r="O41" s="357">
        <f t="shared" si="11"/>
        <v>0</v>
      </c>
      <c r="P41" s="333">
        <f>N41+Measures!H9</f>
        <v>0</v>
      </c>
      <c r="Q41" s="358">
        <f t="shared" si="12"/>
        <v>0</v>
      </c>
      <c r="R41" s="359"/>
      <c r="S41" s="298"/>
      <c r="T41" s="298"/>
      <c r="U41" s="298"/>
      <c r="V41" s="298"/>
      <c r="W41" s="298"/>
      <c r="X41" s="298"/>
      <c r="Y41" s="298"/>
      <c r="Z41" s="298"/>
      <c r="AA41" s="298"/>
    </row>
    <row r="42" spans="1:27" s="72" customFormat="1" ht="15">
      <c r="A42" s="69"/>
      <c r="B42" s="74"/>
      <c r="C42" s="75"/>
      <c r="D42" s="74"/>
      <c r="E42" s="74"/>
      <c r="G42" s="340"/>
      <c r="H42" s="340"/>
      <c r="I42" s="340"/>
      <c r="J42" s="303"/>
      <c r="K42" s="303"/>
      <c r="L42" s="354">
        <f>Measures!B10</f>
        <v>0</v>
      </c>
      <c r="M42" s="355">
        <f>Measures!C10*OHFactor*(1+Profit)</f>
        <v>0</v>
      </c>
      <c r="N42" s="356">
        <f>Measures!F10+Measures!G10</f>
        <v>0</v>
      </c>
      <c r="O42" s="357">
        <f t="shared" si="11"/>
        <v>0</v>
      </c>
      <c r="P42" s="333">
        <f>N42+Measures!H10</f>
        <v>0</v>
      </c>
      <c r="Q42" s="358">
        <f t="shared" si="12"/>
        <v>0</v>
      </c>
      <c r="R42" s="359"/>
      <c r="S42" s="298"/>
      <c r="T42" s="298"/>
      <c r="U42" s="298"/>
      <c r="V42" s="298"/>
      <c r="W42" s="298"/>
      <c r="X42" s="298"/>
      <c r="Y42" s="298"/>
      <c r="Z42" s="298"/>
      <c r="AA42" s="298"/>
    </row>
    <row r="43" spans="1:27" s="72" customFormat="1" ht="15">
      <c r="A43" s="69" t="s">
        <v>94</v>
      </c>
      <c r="B43" s="74"/>
      <c r="C43" s="75"/>
      <c r="D43" s="74"/>
      <c r="E43" s="74"/>
      <c r="F43" s="69"/>
      <c r="G43" s="333"/>
      <c r="H43" s="340"/>
      <c r="I43" s="340"/>
      <c r="J43" s="303"/>
      <c r="K43" s="303"/>
      <c r="L43" s="354">
        <f>Measures!B11</f>
        <v>0</v>
      </c>
      <c r="M43" s="355">
        <f>Measures!C11*OHFactor*(1+Profit)</f>
        <v>0</v>
      </c>
      <c r="N43" s="356">
        <f>Measures!F11+Measures!G11</f>
        <v>0</v>
      </c>
      <c r="O43" s="357">
        <f t="shared" si="11"/>
        <v>0</v>
      </c>
      <c r="P43" s="333">
        <f>N43+Measures!H11</f>
        <v>0</v>
      </c>
      <c r="Q43" s="358">
        <f t="shared" si="12"/>
        <v>0</v>
      </c>
      <c r="R43" s="359"/>
      <c r="S43" s="298"/>
      <c r="T43" s="298"/>
      <c r="U43" s="298"/>
      <c r="V43" s="298"/>
      <c r="W43" s="298"/>
      <c r="X43" s="298"/>
      <c r="Y43" s="298"/>
      <c r="Z43" s="298"/>
      <c r="AA43" s="298"/>
    </row>
    <row r="44" spans="1:27" ht="15">
      <c r="A44" s="74"/>
      <c r="B44" s="74"/>
      <c r="C44" s="75"/>
      <c r="D44" s="74"/>
      <c r="E44" s="74"/>
      <c r="F44" s="74"/>
      <c r="G44" s="361"/>
      <c r="H44" s="333"/>
      <c r="I44" s="303"/>
      <c r="J44" s="303"/>
      <c r="K44" s="303"/>
      <c r="L44" s="354">
        <f>Measures!B12</f>
        <v>0</v>
      </c>
      <c r="M44" s="355">
        <f>Measures!C12*OHFactor*(1+Profit)</f>
        <v>0</v>
      </c>
      <c r="N44" s="356">
        <f>Measures!F12+Measures!G12</f>
        <v>0</v>
      </c>
      <c r="O44" s="357">
        <f t="shared" si="11"/>
        <v>0</v>
      </c>
      <c r="P44" s="333">
        <f>N44+Measures!H12</f>
        <v>0</v>
      </c>
      <c r="Q44" s="358">
        <f t="shared" si="12"/>
        <v>0</v>
      </c>
      <c r="R44" s="359"/>
      <c r="S44" s="298"/>
      <c r="T44" s="298"/>
      <c r="U44" s="298"/>
      <c r="V44" s="298"/>
      <c r="W44" s="298"/>
      <c r="X44" s="298"/>
      <c r="Y44" s="298"/>
      <c r="Z44" s="298"/>
      <c r="AA44" s="298"/>
    </row>
    <row r="45" spans="1:27" ht="15">
      <c r="A45" s="74"/>
      <c r="B45" s="74"/>
      <c r="C45" s="75"/>
      <c r="D45" s="74"/>
      <c r="E45" s="74"/>
      <c r="F45" s="74"/>
      <c r="G45" s="361"/>
      <c r="H45" s="361"/>
      <c r="I45" s="361"/>
      <c r="J45" s="361"/>
      <c r="K45" s="361"/>
      <c r="L45" s="354">
        <f>Measures!B13</f>
        <v>0</v>
      </c>
      <c r="M45" s="355">
        <f>Measures!C13*OHFactor*(1+Profit)</f>
        <v>0</v>
      </c>
      <c r="N45" s="356">
        <f>Measures!F13+Measures!G13</f>
        <v>0</v>
      </c>
      <c r="O45" s="357">
        <f t="shared" si="11"/>
        <v>0</v>
      </c>
      <c r="P45" s="333">
        <f>N45+Measures!H13</f>
        <v>0</v>
      </c>
      <c r="Q45" s="362">
        <f t="shared" si="12"/>
        <v>0</v>
      </c>
      <c r="R45" s="359"/>
      <c r="S45" s="298"/>
      <c r="T45" s="298"/>
      <c r="U45" s="298"/>
      <c r="V45" s="298"/>
      <c r="W45" s="298"/>
      <c r="X45" s="298"/>
      <c r="Y45" s="298"/>
      <c r="Z45" s="298"/>
      <c r="AA45" s="298"/>
    </row>
    <row r="46" spans="1:27" ht="15.75" thickBot="1">
      <c r="A46" s="74"/>
      <c r="B46" s="74"/>
      <c r="C46" s="75"/>
      <c r="D46" s="74"/>
      <c r="E46" s="74"/>
      <c r="F46" s="74"/>
      <c r="G46" s="361"/>
      <c r="H46" s="361"/>
      <c r="I46" s="361"/>
      <c r="J46" s="361"/>
      <c r="K46" s="361"/>
      <c r="L46" s="363" t="str">
        <f>Measures!B14</f>
        <v>Total/Average</v>
      </c>
      <c r="M46" s="364">
        <f>Measures!C14*OHFactor*(1+Profit)</f>
        <v>455917.00000000006</v>
      </c>
      <c r="N46" s="364">
        <f>SUM(N36:N45)</f>
        <v>205000</v>
      </c>
      <c r="O46" s="365">
        <f t="shared" si="11"/>
        <v>2.223985365853659</v>
      </c>
      <c r="P46" s="364">
        <f>SUM(P36:P45)</f>
        <v>210000</v>
      </c>
      <c r="Q46" s="366">
        <f t="shared" si="12"/>
        <v>2.171033333333334</v>
      </c>
      <c r="R46" s="359"/>
      <c r="S46" s="298"/>
      <c r="T46" s="298"/>
      <c r="U46" s="298"/>
      <c r="V46" s="298"/>
      <c r="W46" s="298"/>
      <c r="X46" s="298"/>
      <c r="Y46" s="298"/>
      <c r="Z46" s="298"/>
      <c r="AA46" s="298"/>
    </row>
    <row r="47" spans="1:27" ht="15">
      <c r="A47" s="74"/>
      <c r="F47" s="74"/>
      <c r="G47" s="361"/>
      <c r="H47" s="361"/>
      <c r="I47" s="361"/>
      <c r="J47" s="361"/>
      <c r="K47" s="361"/>
      <c r="L47" s="361"/>
      <c r="M47" s="361"/>
      <c r="N47" s="361"/>
      <c r="O47" s="298"/>
      <c r="P47" s="298"/>
      <c r="Q47" s="298"/>
      <c r="R47" s="298"/>
      <c r="S47" s="298"/>
      <c r="T47" s="298"/>
      <c r="U47" s="298"/>
      <c r="V47" s="298"/>
      <c r="W47" s="298"/>
      <c r="X47" s="298"/>
      <c r="Y47" s="298"/>
      <c r="Z47" s="298"/>
      <c r="AA47" s="298"/>
    </row>
    <row r="48" spans="1:27" ht="15">
      <c r="A48" s="74"/>
      <c r="F48" s="74"/>
      <c r="G48" s="361"/>
      <c r="H48" s="361"/>
      <c r="I48" s="361"/>
      <c r="J48" s="361"/>
      <c r="K48" s="361"/>
      <c r="L48" s="361"/>
      <c r="M48" s="361"/>
      <c r="N48" s="361"/>
      <c r="O48" s="298"/>
      <c r="P48" s="298"/>
      <c r="Q48" s="298"/>
      <c r="R48" s="298"/>
      <c r="S48" s="298"/>
      <c r="T48" s="298"/>
      <c r="U48" s="298"/>
      <c r="V48" s="298"/>
      <c r="W48" s="298"/>
      <c r="X48" s="298"/>
      <c r="Y48" s="298"/>
      <c r="Z48" s="298"/>
      <c r="AA48" s="298"/>
    </row>
    <row r="49" spans="1:27" ht="15">
      <c r="A49" s="74"/>
      <c r="F49" s="74"/>
      <c r="G49" s="361"/>
      <c r="H49" s="361"/>
      <c r="I49" s="361"/>
      <c r="J49" s="361"/>
      <c r="K49" s="361"/>
      <c r="L49" s="361"/>
      <c r="M49" s="361"/>
      <c r="N49" s="361"/>
      <c r="O49" s="298"/>
      <c r="P49" s="298"/>
      <c r="Q49" s="298"/>
      <c r="R49" s="298"/>
      <c r="S49" s="298"/>
      <c r="T49" s="298"/>
      <c r="U49" s="298"/>
      <c r="V49" s="298"/>
      <c r="W49" s="298"/>
      <c r="X49" s="298"/>
      <c r="Y49" s="298"/>
      <c r="Z49" s="298"/>
      <c r="AA49" s="298"/>
    </row>
    <row r="50" spans="1:27" ht="15">
      <c r="A50" s="74"/>
      <c r="F50" s="74"/>
      <c r="G50" s="361"/>
      <c r="H50" s="361"/>
      <c r="I50" s="361"/>
      <c r="J50" s="361"/>
      <c r="K50" s="361"/>
      <c r="L50" s="361"/>
      <c r="M50" s="361"/>
      <c r="N50" s="361"/>
      <c r="O50" s="298"/>
      <c r="P50" s="298"/>
      <c r="Q50" s="298"/>
      <c r="R50" s="298"/>
      <c r="S50" s="298"/>
      <c r="T50" s="298"/>
      <c r="U50" s="298"/>
      <c r="V50" s="298"/>
      <c r="W50" s="298"/>
      <c r="X50" s="298"/>
      <c r="Y50" s="298"/>
      <c r="Z50" s="298"/>
      <c r="AA50" s="298"/>
    </row>
    <row r="51" spans="1:27" ht="15">
      <c r="A51" s="74"/>
      <c r="F51" s="76"/>
      <c r="G51" s="367"/>
      <c r="H51" s="361"/>
      <c r="I51" s="361"/>
      <c r="J51" s="361"/>
      <c r="K51" s="361"/>
      <c r="L51" s="367"/>
      <c r="M51" s="367"/>
      <c r="N51" s="367"/>
      <c r="O51" s="299"/>
      <c r="P51" s="299"/>
      <c r="Q51" s="299"/>
      <c r="R51" s="299"/>
      <c r="S51" s="299"/>
      <c r="T51" s="299"/>
      <c r="U51" s="299"/>
      <c r="V51" s="299"/>
      <c r="W51" s="299"/>
      <c r="X51" s="299"/>
      <c r="Y51" s="299"/>
      <c r="Z51" s="298"/>
      <c r="AA51" s="298"/>
    </row>
    <row r="52" spans="1:27" ht="15">
      <c r="A52" s="76"/>
      <c r="F52" s="76"/>
      <c r="G52" s="367"/>
      <c r="H52" s="367"/>
      <c r="I52" s="367"/>
      <c r="J52" s="367"/>
      <c r="K52" s="367"/>
      <c r="L52" s="367"/>
      <c r="M52" s="367"/>
      <c r="N52" s="367"/>
      <c r="O52" s="299"/>
      <c r="P52" s="299"/>
      <c r="Q52" s="299"/>
      <c r="R52" s="299"/>
      <c r="S52" s="299"/>
      <c r="T52" s="299"/>
      <c r="U52" s="299"/>
      <c r="V52" s="299"/>
      <c r="W52" s="299"/>
      <c r="X52" s="299"/>
      <c r="Y52" s="299"/>
      <c r="Z52" s="299"/>
      <c r="AA52" s="299"/>
    </row>
    <row r="53" spans="1:27" ht="15">
      <c r="A53" s="76"/>
      <c r="F53" s="76"/>
      <c r="G53" s="367"/>
      <c r="H53" s="367"/>
      <c r="I53" s="367"/>
      <c r="J53" s="367"/>
      <c r="K53" s="367"/>
      <c r="L53" s="367"/>
      <c r="M53" s="367"/>
      <c r="N53" s="367"/>
      <c r="O53" s="299"/>
      <c r="P53" s="299"/>
      <c r="Q53" s="299"/>
      <c r="R53" s="299"/>
      <c r="S53" s="299"/>
      <c r="T53" s="299"/>
      <c r="U53" s="299"/>
      <c r="V53" s="299"/>
      <c r="W53" s="299"/>
      <c r="X53" s="299"/>
      <c r="Y53" s="299"/>
      <c r="Z53" s="299"/>
      <c r="AA53" s="299"/>
    </row>
    <row r="54" spans="1:27" ht="15">
      <c r="A54" s="76"/>
      <c r="F54" s="76"/>
      <c r="G54" s="367"/>
      <c r="H54" s="367"/>
      <c r="I54" s="367"/>
      <c r="J54" s="367"/>
      <c r="K54" s="367"/>
      <c r="L54" s="367"/>
      <c r="M54" s="367"/>
      <c r="N54" s="367"/>
      <c r="O54" s="299"/>
      <c r="P54" s="299"/>
      <c r="Q54" s="299"/>
      <c r="R54" s="299"/>
      <c r="S54" s="299"/>
      <c r="T54" s="299"/>
      <c r="U54" s="299"/>
      <c r="V54" s="299"/>
      <c r="W54" s="299"/>
      <c r="X54" s="299"/>
      <c r="Y54" s="299"/>
      <c r="Z54" s="299"/>
      <c r="AA54" s="299"/>
    </row>
    <row r="55" spans="1:27" ht="15">
      <c r="A55" s="76"/>
      <c r="F55" s="76"/>
      <c r="G55" s="367"/>
      <c r="H55" s="367"/>
      <c r="I55" s="367"/>
      <c r="J55" s="367"/>
      <c r="K55" s="367"/>
      <c r="L55" s="367"/>
      <c r="M55" s="367"/>
      <c r="N55" s="367"/>
      <c r="O55" s="299"/>
      <c r="P55" s="299"/>
      <c r="Q55" s="299"/>
      <c r="R55" s="299"/>
      <c r="S55" s="299"/>
      <c r="T55" s="299"/>
      <c r="U55" s="299"/>
      <c r="V55" s="299"/>
      <c r="W55" s="299"/>
      <c r="X55" s="299"/>
      <c r="Y55" s="299"/>
      <c r="Z55" s="299"/>
      <c r="AA55" s="299"/>
    </row>
    <row r="56" spans="1:27" ht="15">
      <c r="A56" s="76"/>
      <c r="F56" s="76"/>
      <c r="G56" s="367"/>
      <c r="H56" s="367"/>
      <c r="I56" s="367"/>
      <c r="J56" s="367"/>
      <c r="K56" s="367"/>
      <c r="L56" s="367"/>
      <c r="M56" s="367"/>
      <c r="N56" s="367"/>
      <c r="O56" s="299"/>
      <c r="P56" s="299"/>
      <c r="Q56" s="299"/>
      <c r="R56" s="299"/>
      <c r="S56" s="299"/>
      <c r="T56" s="299"/>
      <c r="U56" s="299"/>
      <c r="V56" s="299"/>
      <c r="W56" s="299"/>
      <c r="X56" s="299"/>
      <c r="Y56" s="299"/>
      <c r="Z56" s="299"/>
      <c r="AA56" s="299"/>
    </row>
    <row r="57" spans="1:27" ht="15">
      <c r="A57" s="76"/>
      <c r="F57" s="76"/>
      <c r="G57" s="367"/>
      <c r="H57" s="367"/>
      <c r="I57" s="367"/>
      <c r="J57" s="367"/>
      <c r="K57" s="367"/>
      <c r="L57" s="367"/>
      <c r="M57" s="367"/>
      <c r="N57" s="367"/>
      <c r="O57" s="299"/>
      <c r="P57" s="299"/>
      <c r="Q57" s="299"/>
      <c r="R57" s="299"/>
      <c r="S57" s="299"/>
      <c r="T57" s="299"/>
      <c r="U57" s="299"/>
      <c r="V57" s="299"/>
      <c r="W57" s="299"/>
      <c r="X57" s="299"/>
      <c r="Y57" s="299"/>
      <c r="Z57" s="299"/>
      <c r="AA57" s="299"/>
    </row>
    <row r="58" spans="1:27" ht="15">
      <c r="A58" s="76"/>
      <c r="F58" s="76"/>
      <c r="G58" s="367"/>
      <c r="H58" s="367"/>
      <c r="I58" s="367"/>
      <c r="J58" s="367"/>
      <c r="K58" s="367"/>
      <c r="L58" s="367"/>
      <c r="M58" s="367"/>
      <c r="N58" s="367"/>
      <c r="O58" s="299"/>
      <c r="P58" s="299"/>
      <c r="Q58" s="299"/>
      <c r="R58" s="299"/>
      <c r="S58" s="299"/>
      <c r="T58" s="299"/>
      <c r="U58" s="299"/>
      <c r="V58" s="299"/>
      <c r="W58" s="299"/>
      <c r="X58" s="299"/>
      <c r="Y58" s="299"/>
      <c r="Z58" s="299"/>
      <c r="AA58" s="299"/>
    </row>
    <row r="59" spans="1:27" ht="15">
      <c r="A59" s="76"/>
      <c r="F59" s="76"/>
      <c r="G59" s="367"/>
      <c r="H59" s="367"/>
      <c r="I59" s="367"/>
      <c r="J59" s="367"/>
      <c r="K59" s="367"/>
      <c r="L59" s="367"/>
      <c r="M59" s="367"/>
      <c r="N59" s="367"/>
      <c r="O59" s="299"/>
      <c r="P59" s="299"/>
      <c r="Q59" s="299"/>
      <c r="R59" s="299"/>
      <c r="S59" s="299"/>
      <c r="T59" s="299"/>
      <c r="U59" s="299"/>
      <c r="V59" s="299"/>
      <c r="W59" s="299"/>
      <c r="X59" s="299"/>
      <c r="Y59" s="299"/>
      <c r="Z59" s="299"/>
      <c r="AA59" s="299"/>
    </row>
    <row r="60" spans="1:14" ht="15">
      <c r="A60" s="76"/>
      <c r="F60" s="76"/>
      <c r="G60" s="76"/>
      <c r="H60" s="76"/>
      <c r="I60" s="76"/>
      <c r="J60" s="76"/>
      <c r="K60" s="76"/>
      <c r="L60" s="76"/>
      <c r="M60" s="76"/>
      <c r="N60" s="76"/>
    </row>
    <row r="61" spans="1:11" ht="15">
      <c r="A61" s="76"/>
      <c r="H61" s="76"/>
      <c r="I61" s="76"/>
      <c r="J61" s="76"/>
      <c r="K61" s="76"/>
    </row>
  </sheetData>
  <sheetProtection/>
  <printOptions/>
  <pageMargins left="0.75" right="0.75" top="1" bottom="1" header="0.5" footer="0.5"/>
  <pageSetup fitToHeight="1" fitToWidth="1" horizontalDpi="600" verticalDpi="600" orientation="landscape" scale="77" r:id="rId3"/>
  <legacyDrawing r:id="rId2"/>
</worksheet>
</file>

<file path=xl/worksheets/sheet11.xml><?xml version="1.0" encoding="utf-8"?>
<worksheet xmlns="http://schemas.openxmlformats.org/spreadsheetml/2006/main" xmlns:r="http://schemas.openxmlformats.org/officeDocument/2006/relationships">
  <sheetPr codeName="Sheet9"/>
  <dimension ref="A1:E32"/>
  <sheetViews>
    <sheetView workbookViewId="0" topLeftCell="A1">
      <selection activeCell="A25" sqref="A25"/>
    </sheetView>
  </sheetViews>
  <sheetFormatPr defaultColWidth="9.140625" defaultRowHeight="15"/>
  <cols>
    <col min="1" max="1" width="26.8515625" style="0" customWidth="1"/>
    <col min="2" max="2" width="19.57421875" style="0" customWidth="1"/>
    <col min="3" max="4" width="13.00390625" style="0" customWidth="1"/>
    <col min="5" max="5" width="14.57421875" style="0" customWidth="1"/>
  </cols>
  <sheetData>
    <row r="1" spans="1:3" ht="15">
      <c r="A1" s="8" t="s">
        <v>238</v>
      </c>
      <c r="B1" s="48" t="b">
        <v>0</v>
      </c>
      <c r="C1" s="34"/>
    </row>
    <row r="2" spans="1:2" ht="15">
      <c r="A2" t="s">
        <v>239</v>
      </c>
      <c r="B2" t="b">
        <v>0</v>
      </c>
    </row>
    <row r="3" spans="1:2" ht="15">
      <c r="A3">
        <v>1</v>
      </c>
      <c r="B3">
        <v>1</v>
      </c>
    </row>
    <row r="4" ht="15">
      <c r="A4">
        <v>2</v>
      </c>
    </row>
    <row r="6" spans="1:5" ht="15">
      <c r="A6" s="36" t="s">
        <v>23</v>
      </c>
      <c r="D6" t="s">
        <v>134</v>
      </c>
      <c r="E6" t="s">
        <v>135</v>
      </c>
    </row>
    <row r="7" spans="1:5" ht="15">
      <c r="A7">
        <v>1</v>
      </c>
      <c r="B7" t="s">
        <v>111</v>
      </c>
      <c r="D7">
        <f>Inputs!C43</f>
        <v>1</v>
      </c>
      <c r="E7" t="str">
        <f>VLOOKUP(D7,A7:B9,2,FALSE)</f>
        <v>Straight Line</v>
      </c>
    </row>
    <row r="8" spans="1:2" ht="15">
      <c r="A8">
        <v>2</v>
      </c>
      <c r="B8" t="s">
        <v>230</v>
      </c>
    </row>
    <row r="9" spans="1:2" ht="15">
      <c r="A9">
        <v>3</v>
      </c>
      <c r="B9" t="s">
        <v>283</v>
      </c>
    </row>
    <row r="12" ht="15">
      <c r="A12" t="s">
        <v>237</v>
      </c>
    </row>
    <row r="13" spans="1:5" ht="15">
      <c r="A13">
        <v>1</v>
      </c>
      <c r="B13" t="s">
        <v>119</v>
      </c>
      <c r="D13">
        <f>Inputs!F41</f>
        <v>2</v>
      </c>
      <c r="E13" t="str">
        <f>VLOOKUP(D13,A13:B14,2,FALSE)</f>
        <v>Level Principal</v>
      </c>
    </row>
    <row r="14" spans="1:2" ht="15">
      <c r="A14">
        <v>2</v>
      </c>
      <c r="B14" t="s">
        <v>124</v>
      </c>
    </row>
    <row r="17" ht="15">
      <c r="A17" t="s">
        <v>236</v>
      </c>
    </row>
    <row r="18" spans="1:5" ht="15">
      <c r="A18">
        <v>1</v>
      </c>
      <c r="B18" t="s">
        <v>119</v>
      </c>
      <c r="D18" t="e">
        <f>Inputs!#REF!</f>
        <v>#REF!</v>
      </c>
      <c r="E18" t="e">
        <f>VLOOKUP(D18,A18:B19,2,FALSE)</f>
        <v>#REF!</v>
      </c>
    </row>
    <row r="19" spans="1:2" ht="15">
      <c r="A19">
        <v>2</v>
      </c>
      <c r="B19" t="s">
        <v>124</v>
      </c>
    </row>
    <row r="22" spans="1:2" ht="15">
      <c r="A22" t="s">
        <v>6</v>
      </c>
      <c r="B22" s="37" t="b">
        <f>Inputs!SMaint</f>
        <v>1</v>
      </c>
    </row>
    <row r="24" spans="1:2" ht="15">
      <c r="A24" t="s">
        <v>298</v>
      </c>
      <c r="B24" s="37" t="b">
        <f>Inputs!C35</f>
        <v>0</v>
      </c>
    </row>
    <row r="25" ht="15">
      <c r="C25" s="38"/>
    </row>
    <row r="26" spans="3:4" ht="15">
      <c r="C26" s="40"/>
      <c r="D26" s="39"/>
    </row>
    <row r="27" ht="15">
      <c r="C27" s="40"/>
    </row>
    <row r="28" ht="15">
      <c r="C28" s="40"/>
    </row>
    <row r="29" ht="15">
      <c r="C29" s="40"/>
    </row>
    <row r="30" ht="15">
      <c r="C30" s="40"/>
    </row>
    <row r="31" ht="15">
      <c r="C31" s="40"/>
    </row>
    <row r="32" ht="15">
      <c r="C32" s="4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1">
    <pageSetUpPr fitToPage="1"/>
  </sheetPr>
  <dimension ref="B2:Q115"/>
  <sheetViews>
    <sheetView showGridLines="0" tabSelected="1" defaultGridColor="0" view="pageBreakPreview" zoomScale="65" zoomScaleNormal="65" zoomScaleSheetLayoutView="65" colorId="50" workbookViewId="0" topLeftCell="A1">
      <selection activeCell="B18" sqref="B18"/>
    </sheetView>
  </sheetViews>
  <sheetFormatPr defaultColWidth="9.140625" defaultRowHeight="15"/>
  <cols>
    <col min="1" max="1" width="3.140625" style="22" customWidth="1"/>
    <col min="2" max="2" width="34.28125" style="22" customWidth="1"/>
    <col min="3" max="3" width="18.421875" style="22" customWidth="1"/>
    <col min="4" max="4" width="19.421875" style="22" customWidth="1"/>
    <col min="5" max="5" width="30.140625" style="22" customWidth="1"/>
    <col min="6" max="6" width="26.28125" style="22" bestFit="1" customWidth="1"/>
    <col min="7" max="7" width="32.8515625" style="22" customWidth="1"/>
    <col min="8" max="8" width="19.7109375" style="22" customWidth="1"/>
    <col min="9" max="9" width="44.7109375" style="22" bestFit="1" customWidth="1"/>
    <col min="10" max="10" width="16.140625" style="22" customWidth="1"/>
    <col min="11" max="11" width="7.421875" style="22" customWidth="1"/>
    <col min="12" max="12" width="5.8515625" style="22" customWidth="1"/>
    <col min="13" max="13" width="31.8515625" style="22" customWidth="1"/>
    <col min="14" max="14" width="16.7109375" style="22" customWidth="1"/>
    <col min="15" max="15" width="5.28125" style="22" customWidth="1"/>
    <col min="16" max="16" width="31.57421875" style="22" customWidth="1"/>
    <col min="17" max="17" width="14.421875" style="22" customWidth="1"/>
    <col min="18" max="16384" width="8.8515625" style="22" customWidth="1"/>
  </cols>
  <sheetData>
    <row r="1" ht="15"/>
    <row r="2" ht="16.5" thickBot="1">
      <c r="B2" s="430" t="s">
        <v>307</v>
      </c>
    </row>
    <row r="3" spans="2:17" ht="29.25" thickBot="1">
      <c r="B3" s="532" t="s">
        <v>285</v>
      </c>
      <c r="C3" s="533" t="s">
        <v>29</v>
      </c>
      <c r="D3" s="533" t="s">
        <v>48</v>
      </c>
      <c r="E3" s="533" t="s">
        <v>49</v>
      </c>
      <c r="F3" s="533" t="s">
        <v>50</v>
      </c>
      <c r="G3" s="533" t="s">
        <v>55</v>
      </c>
      <c r="H3" s="534" t="s">
        <v>219</v>
      </c>
      <c r="I3" s="41"/>
      <c r="J3" s="41"/>
      <c r="K3" s="41"/>
      <c r="L3" s="41"/>
      <c r="M3" s="41"/>
      <c r="N3" s="41"/>
      <c r="O3" s="41"/>
      <c r="P3" s="41"/>
      <c r="Q3" s="41"/>
    </row>
    <row r="4" spans="2:17" ht="15.75" thickBot="1">
      <c r="B4" s="535">
        <v>1</v>
      </c>
      <c r="C4" s="536">
        <v>350000</v>
      </c>
      <c r="D4" s="537">
        <v>200000</v>
      </c>
      <c r="E4" s="537">
        <v>5000</v>
      </c>
      <c r="F4" s="537">
        <v>5000</v>
      </c>
      <c r="G4" s="537">
        <v>5000</v>
      </c>
      <c r="H4" s="538">
        <v>10</v>
      </c>
      <c r="I4" s="41"/>
      <c r="J4" s="41"/>
      <c r="K4" s="41"/>
      <c r="L4" s="41"/>
      <c r="M4" s="41"/>
      <c r="N4" s="41"/>
      <c r="O4" s="41"/>
      <c r="P4" s="41"/>
      <c r="Q4" s="41"/>
    </row>
    <row r="5" spans="2:17" ht="15.75" thickBot="1">
      <c r="B5" s="535"/>
      <c r="C5" s="536"/>
      <c r="D5" s="537"/>
      <c r="E5" s="537"/>
      <c r="F5" s="537"/>
      <c r="G5" s="537"/>
      <c r="H5" s="538"/>
      <c r="I5" s="41"/>
      <c r="J5" s="41"/>
      <c r="K5" s="41"/>
      <c r="L5" s="41"/>
      <c r="M5" s="41"/>
      <c r="N5" s="41"/>
      <c r="O5" s="41"/>
      <c r="P5" s="41"/>
      <c r="Q5" s="41"/>
    </row>
    <row r="6" spans="2:17" ht="15.75" thickBot="1">
      <c r="B6" s="535"/>
      <c r="C6" s="536"/>
      <c r="D6" s="537"/>
      <c r="E6" s="537"/>
      <c r="F6" s="537"/>
      <c r="G6" s="537"/>
      <c r="H6" s="538"/>
      <c r="I6" s="41"/>
      <c r="J6" s="41"/>
      <c r="K6" s="41"/>
      <c r="L6" s="41"/>
      <c r="M6" s="41"/>
      <c r="N6" s="41"/>
      <c r="O6" s="41"/>
      <c r="P6" s="41"/>
      <c r="Q6" s="41"/>
    </row>
    <row r="7" spans="2:17" ht="15.75" thickBot="1">
      <c r="B7" s="535"/>
      <c r="C7" s="539"/>
      <c r="D7" s="537"/>
      <c r="E7" s="537"/>
      <c r="F7" s="540"/>
      <c r="G7" s="537"/>
      <c r="H7" s="538"/>
      <c r="I7" s="41"/>
      <c r="J7" s="41"/>
      <c r="K7" s="41"/>
      <c r="L7" s="41"/>
      <c r="M7" s="41"/>
      <c r="N7" s="41"/>
      <c r="O7" s="41"/>
      <c r="P7" s="41"/>
      <c r="Q7" s="41"/>
    </row>
    <row r="8" spans="2:17" ht="15.75" thickBot="1">
      <c r="B8" s="535"/>
      <c r="C8" s="541"/>
      <c r="D8" s="537"/>
      <c r="E8" s="537"/>
      <c r="F8" s="542"/>
      <c r="G8" s="537"/>
      <c r="H8" s="538"/>
      <c r="I8" s="41"/>
      <c r="J8" s="41"/>
      <c r="K8" s="41"/>
      <c r="L8" s="41"/>
      <c r="M8" s="41"/>
      <c r="N8" s="41"/>
      <c r="O8" s="41"/>
      <c r="P8" s="41"/>
      <c r="Q8" s="41"/>
    </row>
    <row r="9" spans="2:17" ht="15.75" thickBot="1">
      <c r="B9" s="535"/>
      <c r="C9" s="536"/>
      <c r="D9" s="537"/>
      <c r="E9" s="537"/>
      <c r="F9" s="537"/>
      <c r="G9" s="537"/>
      <c r="H9" s="538"/>
      <c r="I9" s="41"/>
      <c r="J9" s="41"/>
      <c r="K9" s="41"/>
      <c r="L9" s="41"/>
      <c r="M9" s="41"/>
      <c r="N9" s="41"/>
      <c r="O9" s="41"/>
      <c r="P9" s="41"/>
      <c r="Q9" s="41"/>
    </row>
    <row r="10" spans="2:17" ht="15.75" thickBot="1">
      <c r="B10" s="535"/>
      <c r="C10" s="536"/>
      <c r="D10" s="537"/>
      <c r="E10" s="537"/>
      <c r="F10" s="537"/>
      <c r="G10" s="537"/>
      <c r="H10" s="538"/>
      <c r="I10" s="41"/>
      <c r="J10" s="41"/>
      <c r="K10" s="41"/>
      <c r="L10" s="41"/>
      <c r="M10" s="41" t="b">
        <v>1</v>
      </c>
      <c r="N10" s="41"/>
      <c r="O10" s="41"/>
      <c r="P10" s="41"/>
      <c r="Q10" s="41"/>
    </row>
    <row r="11" spans="2:17" ht="15.75" thickBot="1">
      <c r="B11" s="535"/>
      <c r="C11" s="536"/>
      <c r="D11" s="537"/>
      <c r="E11" s="537"/>
      <c r="F11" s="537"/>
      <c r="G11" s="537"/>
      <c r="H11" s="538"/>
      <c r="I11" s="41"/>
      <c r="J11" s="41"/>
      <c r="K11" s="41"/>
      <c r="L11" s="41"/>
      <c r="M11" s="41"/>
      <c r="N11" s="41"/>
      <c r="O11" s="41"/>
      <c r="P11" s="41"/>
      <c r="Q11" s="41"/>
    </row>
    <row r="12" spans="2:17" ht="15.75" thickBot="1">
      <c r="B12" s="543"/>
      <c r="C12" s="544"/>
      <c r="D12" s="544"/>
      <c r="E12" s="544"/>
      <c r="F12" s="544"/>
      <c r="G12" s="544"/>
      <c r="H12" s="545"/>
      <c r="I12" s="41"/>
      <c r="J12" s="41"/>
      <c r="K12" s="41"/>
      <c r="L12" s="41"/>
      <c r="M12" s="41"/>
      <c r="N12" s="41"/>
      <c r="O12" s="41"/>
      <c r="P12" s="41"/>
      <c r="Q12" s="41"/>
    </row>
    <row r="13" spans="2:17" ht="15">
      <c r="B13" s="410"/>
      <c r="C13" s="411"/>
      <c r="D13" s="411"/>
      <c r="E13" s="747"/>
      <c r="F13" s="411"/>
      <c r="G13" s="747"/>
      <c r="H13" s="412"/>
      <c r="I13" s="41"/>
      <c r="J13" s="41"/>
      <c r="K13" s="41"/>
      <c r="L13" s="41"/>
      <c r="M13" s="41"/>
      <c r="N13" s="41"/>
      <c r="O13" s="41"/>
      <c r="P13" s="41"/>
      <c r="Q13" s="41"/>
    </row>
    <row r="14" spans="2:17" ht="16.5" thickBot="1">
      <c r="B14" s="430" t="s">
        <v>400</v>
      </c>
      <c r="C14" s="411"/>
      <c r="D14" s="411"/>
      <c r="E14" s="747"/>
      <c r="F14" s="411"/>
      <c r="G14" s="747"/>
      <c r="H14" s="412"/>
      <c r="I14" s="41"/>
      <c r="J14" s="41"/>
      <c r="K14" s="41"/>
      <c r="L14" s="41"/>
      <c r="M14" s="41"/>
      <c r="N14" s="41"/>
      <c r="O14" s="41"/>
      <c r="P14" s="41"/>
      <c r="Q14" s="41"/>
    </row>
    <row r="15" spans="2:17" ht="15.75" customHeight="1" thickBot="1">
      <c r="B15" s="1070" t="s">
        <v>373</v>
      </c>
      <c r="C15" s="1071"/>
      <c r="D15" s="1072"/>
      <c r="E15" s="1002" t="s">
        <v>353</v>
      </c>
      <c r="F15" s="1003"/>
      <c r="G15" s="1004" t="s">
        <v>299</v>
      </c>
      <c r="H15" s="1005"/>
      <c r="I15" s="942" t="s">
        <v>374</v>
      </c>
      <c r="J15" s="807"/>
      <c r="K15" s="41"/>
      <c r="L15" s="41"/>
      <c r="M15" s="41"/>
      <c r="N15" s="41"/>
      <c r="O15" s="41"/>
      <c r="P15" s="41"/>
      <c r="Q15" s="41"/>
    </row>
    <row r="16" spans="2:17" ht="15.75" customHeight="1" thickBot="1">
      <c r="B16" s="483" t="s">
        <v>195</v>
      </c>
      <c r="C16" s="484" t="s">
        <v>293</v>
      </c>
      <c r="D16" s="485" t="s">
        <v>294</v>
      </c>
      <c r="E16" s="448"/>
      <c r="F16" s="445" t="s">
        <v>183</v>
      </c>
      <c r="G16" s="414"/>
      <c r="H16" s="427" t="s">
        <v>183</v>
      </c>
      <c r="I16" s="805"/>
      <c r="J16" s="806" t="s">
        <v>183</v>
      </c>
      <c r="K16" s="41"/>
      <c r="L16" s="41"/>
      <c r="M16" s="41"/>
      <c r="N16" s="41"/>
      <c r="O16" s="41"/>
      <c r="P16" s="41"/>
      <c r="Q16" s="41"/>
    </row>
    <row r="17" spans="2:17" ht="15.75" customHeight="1" thickBot="1">
      <c r="B17" s="457" t="s">
        <v>286</v>
      </c>
      <c r="C17" s="458"/>
      <c r="D17" s="459">
        <v>0.01</v>
      </c>
      <c r="E17" s="449" t="s">
        <v>199</v>
      </c>
      <c r="F17" s="439"/>
      <c r="G17" s="415" t="s">
        <v>199</v>
      </c>
      <c r="H17" s="416"/>
      <c r="I17" s="791" t="s">
        <v>199</v>
      </c>
      <c r="J17" s="792"/>
      <c r="K17" s="41"/>
      <c r="L17" s="41"/>
      <c r="M17" s="41"/>
      <c r="N17" s="41"/>
      <c r="O17" s="41"/>
      <c r="P17" s="41"/>
      <c r="Q17" s="41"/>
    </row>
    <row r="18" spans="2:17" ht="15.75" customHeight="1" thickBot="1">
      <c r="B18" s="457" t="s">
        <v>277</v>
      </c>
      <c r="C18" s="460"/>
      <c r="D18" s="459">
        <v>0.01</v>
      </c>
      <c r="E18" s="748" t="s">
        <v>145</v>
      </c>
      <c r="F18" s="440">
        <v>5000000</v>
      </c>
      <c r="G18" s="749" t="s">
        <v>145</v>
      </c>
      <c r="H18" s="401"/>
      <c r="I18" s="793" t="s">
        <v>145</v>
      </c>
      <c r="J18" s="794"/>
      <c r="K18" s="41"/>
      <c r="L18" s="41"/>
      <c r="M18" s="41"/>
      <c r="N18" s="41"/>
      <c r="O18" s="41"/>
      <c r="P18" s="41"/>
      <c r="Q18" s="41"/>
    </row>
    <row r="19" spans="2:17" ht="15.75" customHeight="1" thickBot="1">
      <c r="B19" s="461" t="s">
        <v>66</v>
      </c>
      <c r="C19" s="462"/>
      <c r="D19" s="463"/>
      <c r="E19" s="450" t="s">
        <v>186</v>
      </c>
      <c r="F19" s="440">
        <v>2000000</v>
      </c>
      <c r="G19" s="749" t="s">
        <v>186</v>
      </c>
      <c r="H19" s="402"/>
      <c r="I19" s="795" t="s">
        <v>186</v>
      </c>
      <c r="J19" s="794"/>
      <c r="K19" s="41"/>
      <c r="L19" s="41"/>
      <c r="M19" s="41"/>
      <c r="N19" s="41"/>
      <c r="O19" s="41"/>
      <c r="P19" s="41"/>
      <c r="Q19" s="41"/>
    </row>
    <row r="20" spans="2:17" ht="15.75" customHeight="1" thickBot="1">
      <c r="B20" s="457" t="s">
        <v>36</v>
      </c>
      <c r="C20" s="464">
        <v>5000</v>
      </c>
      <c r="D20" s="463"/>
      <c r="E20" s="450" t="s">
        <v>207</v>
      </c>
      <c r="F20" s="440">
        <v>500000</v>
      </c>
      <c r="G20" s="417" t="s">
        <v>207</v>
      </c>
      <c r="H20" s="402"/>
      <c r="I20" s="795" t="s">
        <v>207</v>
      </c>
      <c r="J20" s="794"/>
      <c r="K20" s="41"/>
      <c r="L20" s="41"/>
      <c r="M20" s="41"/>
      <c r="N20" s="41"/>
      <c r="O20" s="41"/>
      <c r="P20" s="41"/>
      <c r="Q20" s="41"/>
    </row>
    <row r="21" spans="2:17" ht="20.25" customHeight="1" thickBot="1">
      <c r="B21" s="457" t="s">
        <v>28</v>
      </c>
      <c r="C21" s="458"/>
      <c r="D21" s="459">
        <v>0.05</v>
      </c>
      <c r="E21" s="450" t="s">
        <v>229</v>
      </c>
      <c r="F21" s="440">
        <v>500000</v>
      </c>
      <c r="G21" s="417" t="s">
        <v>229</v>
      </c>
      <c r="H21" s="402"/>
      <c r="I21" s="795" t="s">
        <v>229</v>
      </c>
      <c r="J21" s="794"/>
      <c r="K21" s="41"/>
      <c r="L21" s="41"/>
      <c r="M21" s="41"/>
      <c r="N21" s="41"/>
      <c r="O21" s="41"/>
      <c r="P21" s="41"/>
      <c r="Q21" s="41"/>
    </row>
    <row r="22" spans="2:17" ht="19.5" customHeight="1" thickBot="1">
      <c r="B22" s="457" t="s">
        <v>35</v>
      </c>
      <c r="C22" s="458"/>
      <c r="D22" s="459">
        <v>0.05</v>
      </c>
      <c r="E22" s="450" t="s">
        <v>185</v>
      </c>
      <c r="F22" s="440">
        <v>500000</v>
      </c>
      <c r="G22" s="417" t="s">
        <v>185</v>
      </c>
      <c r="H22" s="402"/>
      <c r="I22" s="795" t="s">
        <v>185</v>
      </c>
      <c r="J22" s="794"/>
      <c r="K22" s="41"/>
      <c r="L22" s="41"/>
      <c r="M22" s="41"/>
      <c r="N22" s="41"/>
      <c r="O22" s="41"/>
      <c r="P22" s="41"/>
      <c r="Q22" s="41"/>
    </row>
    <row r="23" spans="2:17" ht="23.25" customHeight="1" thickBot="1">
      <c r="B23" s="461" t="s">
        <v>191</v>
      </c>
      <c r="C23" s="465"/>
      <c r="D23" s="463"/>
      <c r="E23" s="451" t="s">
        <v>200</v>
      </c>
      <c r="F23" s="441"/>
      <c r="G23" s="418" t="s">
        <v>200</v>
      </c>
      <c r="H23" s="419"/>
      <c r="I23" s="796" t="s">
        <v>200</v>
      </c>
      <c r="J23" s="797"/>
      <c r="K23" s="41"/>
      <c r="L23" s="41"/>
      <c r="M23" s="41"/>
      <c r="N23" s="41"/>
      <c r="O23" s="41"/>
      <c r="P23" s="41"/>
      <c r="Q23" s="41"/>
    </row>
    <row r="24" spans="2:17" ht="23.25" customHeight="1" thickBot="1">
      <c r="B24" s="457" t="s">
        <v>38</v>
      </c>
      <c r="C24" s="464">
        <v>5000</v>
      </c>
      <c r="D24" s="463"/>
      <c r="E24" s="450" t="s">
        <v>178</v>
      </c>
      <c r="F24" s="440">
        <v>10000000</v>
      </c>
      <c r="G24" s="417" t="s">
        <v>178</v>
      </c>
      <c r="H24" s="402"/>
      <c r="I24" s="795" t="s">
        <v>178</v>
      </c>
      <c r="J24" s="794"/>
      <c r="K24" s="41"/>
      <c r="L24" s="41"/>
      <c r="M24" s="41"/>
      <c r="N24" s="41"/>
      <c r="O24" s="41"/>
      <c r="P24" s="41"/>
      <c r="Q24" s="41"/>
    </row>
    <row r="25" spans="2:17" ht="20.25" customHeight="1" thickBot="1">
      <c r="B25" s="457" t="s">
        <v>40</v>
      </c>
      <c r="C25" s="458"/>
      <c r="D25" s="459">
        <v>0.01</v>
      </c>
      <c r="E25" s="450" t="s">
        <v>198</v>
      </c>
      <c r="F25" s="440">
        <v>1000000</v>
      </c>
      <c r="G25" s="417" t="s">
        <v>198</v>
      </c>
      <c r="H25" s="402"/>
      <c r="I25" s="795" t="s">
        <v>198</v>
      </c>
      <c r="J25" s="794"/>
      <c r="K25" s="41"/>
      <c r="L25" s="41"/>
      <c r="M25" s="41"/>
      <c r="N25" s="41"/>
      <c r="O25" s="41"/>
      <c r="P25" s="41"/>
      <c r="Q25" s="41"/>
    </row>
    <row r="26" spans="2:17" ht="15.75" customHeight="1" thickBot="1">
      <c r="B26" s="457" t="s">
        <v>42</v>
      </c>
      <c r="C26" s="458"/>
      <c r="D26" s="459">
        <v>0.01</v>
      </c>
      <c r="E26" s="450" t="s">
        <v>179</v>
      </c>
      <c r="F26" s="440">
        <v>5000000</v>
      </c>
      <c r="G26" s="417" t="s">
        <v>179</v>
      </c>
      <c r="H26" s="402"/>
      <c r="I26" s="795" t="s">
        <v>179</v>
      </c>
      <c r="J26" s="794"/>
      <c r="K26" s="41"/>
      <c r="L26" s="41"/>
      <c r="M26" s="41"/>
      <c r="N26" s="41"/>
      <c r="O26" s="41"/>
      <c r="P26" s="41"/>
      <c r="Q26" s="41"/>
    </row>
    <row r="27" spans="2:17" ht="15.75" customHeight="1" thickBot="1">
      <c r="B27" s="750" t="s">
        <v>44</v>
      </c>
      <c r="C27" s="464">
        <v>5000</v>
      </c>
      <c r="D27" s="463"/>
      <c r="E27" s="450" t="s">
        <v>180</v>
      </c>
      <c r="F27" s="440">
        <v>2000000</v>
      </c>
      <c r="G27" s="417" t="s">
        <v>180</v>
      </c>
      <c r="H27" s="402"/>
      <c r="I27" s="795" t="s">
        <v>180</v>
      </c>
      <c r="J27" s="794"/>
      <c r="K27" s="41"/>
      <c r="L27" s="41"/>
      <c r="M27" s="41"/>
      <c r="N27" s="41"/>
      <c r="O27" s="41"/>
      <c r="P27" s="41"/>
      <c r="Q27" s="41"/>
    </row>
    <row r="28" spans="2:17" ht="15.75" customHeight="1" thickBot="1">
      <c r="B28" s="457" t="s">
        <v>369</v>
      </c>
      <c r="C28" s="460"/>
      <c r="D28" s="459">
        <v>0.1</v>
      </c>
      <c r="E28" s="451" t="s">
        <v>201</v>
      </c>
      <c r="F28" s="441"/>
      <c r="G28" s="418" t="s">
        <v>201</v>
      </c>
      <c r="H28" s="403"/>
      <c r="I28" s="796" t="s">
        <v>201</v>
      </c>
      <c r="J28" s="797"/>
      <c r="K28" s="41"/>
      <c r="L28" s="41"/>
      <c r="M28" s="41"/>
      <c r="N28" s="41"/>
      <c r="O28" s="41"/>
      <c r="P28" s="41"/>
      <c r="Q28" s="41"/>
    </row>
    <row r="29" spans="2:17" ht="15.75" customHeight="1" thickBot="1">
      <c r="B29" s="457" t="s">
        <v>278</v>
      </c>
      <c r="C29" s="458"/>
      <c r="D29" s="459">
        <v>0.01</v>
      </c>
      <c r="E29" s="450" t="s">
        <v>177</v>
      </c>
      <c r="F29" s="440">
        <v>5000000</v>
      </c>
      <c r="G29" s="417" t="s">
        <v>177</v>
      </c>
      <c r="H29" s="432"/>
      <c r="I29" s="795" t="s">
        <v>177</v>
      </c>
      <c r="J29" s="794"/>
      <c r="K29" s="41"/>
      <c r="L29" s="41"/>
      <c r="M29" s="41"/>
      <c r="N29" s="41"/>
      <c r="O29" s="41"/>
      <c r="P29" s="41"/>
      <c r="Q29" s="41"/>
    </row>
    <row r="30" spans="2:17" ht="15.75" customHeight="1" thickBot="1">
      <c r="B30" s="456" t="s">
        <v>284</v>
      </c>
      <c r="C30" s="466"/>
      <c r="D30" s="463"/>
      <c r="E30" s="452" t="s">
        <v>169</v>
      </c>
      <c r="F30" s="442">
        <v>2000000</v>
      </c>
      <c r="G30" s="420" t="s">
        <v>169</v>
      </c>
      <c r="H30" s="404"/>
      <c r="I30" s="798" t="s">
        <v>169</v>
      </c>
      <c r="J30" s="799"/>
      <c r="K30" s="41"/>
      <c r="L30" s="41"/>
      <c r="M30" s="41"/>
      <c r="N30" s="41"/>
      <c r="O30" s="41"/>
      <c r="P30" s="41"/>
      <c r="Q30" s="41"/>
    </row>
    <row r="31" spans="2:17" ht="15.75" customHeight="1" thickBot="1">
      <c r="B31" s="457" t="s">
        <v>235</v>
      </c>
      <c r="C31" s="467">
        <v>5</v>
      </c>
      <c r="D31" s="463"/>
      <c r="E31" s="453" t="s">
        <v>170</v>
      </c>
      <c r="F31" s="443"/>
      <c r="G31" s="421" t="s">
        <v>170</v>
      </c>
      <c r="H31" s="422"/>
      <c r="I31" s="800" t="s">
        <v>170</v>
      </c>
      <c r="J31" s="801"/>
      <c r="K31" s="41"/>
      <c r="L31" s="41"/>
      <c r="M31" s="41"/>
      <c r="N31" s="41"/>
      <c r="O31" s="41"/>
      <c r="P31" s="41"/>
      <c r="Q31" s="41"/>
    </row>
    <row r="32" spans="2:17" ht="15.75" customHeight="1" thickBot="1">
      <c r="B32" s="457" t="s">
        <v>370</v>
      </c>
      <c r="C32" s="460"/>
      <c r="D32" s="468">
        <v>0.5</v>
      </c>
      <c r="E32" s="454" t="s">
        <v>234</v>
      </c>
      <c r="F32" s="440">
        <v>500000</v>
      </c>
      <c r="G32" s="413" t="s">
        <v>233</v>
      </c>
      <c r="H32" s="402">
        <v>0</v>
      </c>
      <c r="I32" s="802" t="s">
        <v>234</v>
      </c>
      <c r="J32" s="794"/>
      <c r="K32" s="41"/>
      <c r="L32" s="41"/>
      <c r="M32" s="41"/>
      <c r="N32" s="41"/>
      <c r="O32" s="41"/>
      <c r="P32" s="41"/>
      <c r="Q32" s="41"/>
    </row>
    <row r="33" spans="2:17" ht="15.75" customHeight="1" thickBot="1">
      <c r="B33" s="457" t="s">
        <v>371</v>
      </c>
      <c r="C33" s="458"/>
      <c r="D33" s="459">
        <v>0.25</v>
      </c>
      <c r="E33" s="450" t="s">
        <v>232</v>
      </c>
      <c r="F33" s="440">
        <v>1000000</v>
      </c>
      <c r="G33" s="417" t="s">
        <v>232</v>
      </c>
      <c r="H33" s="402"/>
      <c r="I33" s="795" t="s">
        <v>232</v>
      </c>
      <c r="J33" s="794"/>
      <c r="K33" s="41"/>
      <c r="L33" s="41"/>
      <c r="M33" s="41"/>
      <c r="N33" s="41"/>
      <c r="O33" s="41"/>
      <c r="P33" s="41"/>
      <c r="Q33" s="41"/>
    </row>
    <row r="34" spans="2:17" ht="19.5" customHeight="1" thickBot="1">
      <c r="B34" s="469" t="s">
        <v>6</v>
      </c>
      <c r="C34" s="470" t="b">
        <v>1</v>
      </c>
      <c r="D34" s="463"/>
      <c r="E34" s="455" t="s">
        <v>231</v>
      </c>
      <c r="F34" s="444">
        <v>3000000</v>
      </c>
      <c r="G34" s="423" t="s">
        <v>231</v>
      </c>
      <c r="H34" s="402"/>
      <c r="I34" s="803" t="s">
        <v>231</v>
      </c>
      <c r="J34" s="804"/>
      <c r="K34" s="41"/>
      <c r="L34" s="41"/>
      <c r="M34" s="41"/>
      <c r="N34" s="41"/>
      <c r="O34" s="41"/>
      <c r="P34" s="41"/>
      <c r="Q34" s="41"/>
    </row>
    <row r="35" spans="2:17" ht="18.75" customHeight="1" thickBot="1">
      <c r="B35" s="469" t="s">
        <v>297</v>
      </c>
      <c r="C35" s="471" t="b">
        <v>0</v>
      </c>
      <c r="D35" s="463"/>
      <c r="G35" s="425" t="s">
        <v>269</v>
      </c>
      <c r="H35" s="426"/>
      <c r="I35" s="41"/>
      <c r="J35" s="41"/>
      <c r="K35" s="41"/>
      <c r="L35" s="41"/>
      <c r="M35" s="41"/>
      <c r="N35" s="41"/>
      <c r="O35" s="41"/>
      <c r="P35" s="41"/>
      <c r="Q35" s="41"/>
    </row>
    <row r="36" spans="2:17" ht="15.75" customHeight="1" thickBot="1" thickTop="1">
      <c r="B36" s="469" t="s">
        <v>8</v>
      </c>
      <c r="C36" s="460"/>
      <c r="D36" s="472">
        <v>0.01</v>
      </c>
      <c r="E36" s="1006" t="s">
        <v>354</v>
      </c>
      <c r="F36" s="1007"/>
      <c r="G36" s="431" t="s">
        <v>270</v>
      </c>
      <c r="H36" s="788"/>
      <c r="I36" s="1059" t="s">
        <v>355</v>
      </c>
      <c r="J36" s="1060"/>
      <c r="K36" s="41"/>
      <c r="L36" s="41"/>
      <c r="M36" s="41"/>
      <c r="N36" s="41"/>
      <c r="O36" s="41"/>
      <c r="P36" s="41"/>
      <c r="Q36" s="41"/>
    </row>
    <row r="37" spans="2:17" ht="15.75" customHeight="1" thickBot="1">
      <c r="B37" s="469" t="s">
        <v>9</v>
      </c>
      <c r="C37" s="458"/>
      <c r="D37" s="472">
        <v>0.01</v>
      </c>
      <c r="E37" s="751" t="s">
        <v>3</v>
      </c>
      <c r="F37" s="434"/>
      <c r="G37" s="431" t="s">
        <v>274</v>
      </c>
      <c r="H37" s="789"/>
      <c r="I37" s="1061" t="s">
        <v>380</v>
      </c>
      <c r="J37" s="1062"/>
      <c r="M37" s="41"/>
      <c r="N37" s="41"/>
      <c r="O37" s="41"/>
      <c r="P37" s="41"/>
      <c r="Q37" s="41"/>
    </row>
    <row r="38" spans="2:17" ht="15.75" customHeight="1" thickBot="1">
      <c r="B38" s="469" t="s">
        <v>10</v>
      </c>
      <c r="C38" s="458"/>
      <c r="D38" s="472">
        <v>0.01</v>
      </c>
      <c r="E38" s="752" t="s">
        <v>300</v>
      </c>
      <c r="F38" s="435"/>
      <c r="G38" s="446" t="s">
        <v>272</v>
      </c>
      <c r="H38" s="790"/>
      <c r="I38" s="1061" t="s">
        <v>381</v>
      </c>
      <c r="J38" s="1063"/>
      <c r="K38" s="41"/>
      <c r="L38" s="41"/>
      <c r="M38" s="41"/>
      <c r="N38" s="41"/>
      <c r="O38" s="41"/>
      <c r="P38" s="41"/>
      <c r="Q38" s="41"/>
    </row>
    <row r="39" spans="2:17" ht="15.75" customHeight="1" thickBot="1">
      <c r="B39" s="473" t="s">
        <v>20</v>
      </c>
      <c r="C39" s="474"/>
      <c r="D39" s="463"/>
      <c r="E39" s="752" t="s">
        <v>301</v>
      </c>
      <c r="F39" s="436"/>
      <c r="I39" s="1064"/>
      <c r="J39" s="1065"/>
      <c r="K39" s="41"/>
      <c r="L39" s="41"/>
      <c r="M39" s="41"/>
      <c r="N39" s="41"/>
      <c r="O39" s="41"/>
      <c r="P39" s="41"/>
      <c r="Q39" s="41"/>
    </row>
    <row r="40" spans="2:17" ht="15.75" customHeight="1" thickBot="1">
      <c r="B40" s="457" t="s">
        <v>18</v>
      </c>
      <c r="C40" s="460"/>
      <c r="D40" s="459">
        <v>0.025</v>
      </c>
      <c r="E40" s="752" t="s">
        <v>302</v>
      </c>
      <c r="F40" s="436"/>
      <c r="I40" s="1061" t="s">
        <v>382</v>
      </c>
      <c r="J40" s="1062"/>
      <c r="K40" s="41" t="str">
        <f>IF(J37&gt;D45,"Cannot be higher then Annual O&amp;M Charges to SPE/Project"," ")</f>
        <v> </v>
      </c>
      <c r="L40" s="41"/>
      <c r="M40" s="41"/>
      <c r="N40" s="41"/>
      <c r="O40" s="41"/>
      <c r="P40" s="41"/>
      <c r="Q40" s="41"/>
    </row>
    <row r="41" spans="2:17" ht="15.75" customHeight="1" thickBot="1">
      <c r="B41" s="457" t="s">
        <v>144</v>
      </c>
      <c r="C41" s="458"/>
      <c r="D41" s="459">
        <v>0.34</v>
      </c>
      <c r="E41" s="752" t="s">
        <v>303</v>
      </c>
      <c r="F41" s="1008">
        <v>2</v>
      </c>
      <c r="I41" s="1066" t="s">
        <v>385</v>
      </c>
      <c r="J41" s="1067"/>
      <c r="K41" s="41" t="str">
        <f>IF(J38&gt;D47,"Cannot be higher then Annual M&amp;V Charges to SPE/Project"," ")</f>
        <v> </v>
      </c>
      <c r="L41" s="41"/>
      <c r="M41" s="41"/>
      <c r="N41" s="41"/>
      <c r="O41" s="41"/>
      <c r="P41" s="41"/>
      <c r="Q41" s="41"/>
    </row>
    <row r="42" spans="2:17" ht="26.25" customHeight="1" thickBot="1">
      <c r="B42" s="457" t="s">
        <v>148</v>
      </c>
      <c r="C42" s="475">
        <v>5</v>
      </c>
      <c r="D42" s="1076" t="str">
        <f>IF(C42&gt;Term,"Depreciation Cannot be greater then contract period (cellC31)"," ")</f>
        <v> </v>
      </c>
      <c r="E42" s="753" t="s">
        <v>304</v>
      </c>
      <c r="F42" s="437"/>
      <c r="I42" s="41"/>
      <c r="J42" s="41"/>
      <c r="K42" s="41"/>
      <c r="L42" s="41"/>
      <c r="M42" s="41"/>
      <c r="N42" s="41"/>
      <c r="O42" s="41"/>
      <c r="P42" s="41"/>
      <c r="Q42" s="41"/>
    </row>
    <row r="43" spans="2:17" ht="25.5" customHeight="1" thickBot="1">
      <c r="B43" s="476" t="s">
        <v>24</v>
      </c>
      <c r="C43" s="477">
        <v>1</v>
      </c>
      <c r="D43" s="1077"/>
      <c r="E43" s="753" t="s">
        <v>308</v>
      </c>
      <c r="F43" s="437"/>
      <c r="I43" s="41"/>
      <c r="J43" s="41"/>
      <c r="K43" s="41"/>
      <c r="L43" s="41"/>
      <c r="M43" s="41"/>
      <c r="N43" s="41"/>
      <c r="O43" s="41"/>
      <c r="P43" s="41"/>
      <c r="Q43" s="41"/>
    </row>
    <row r="44" spans="2:17" ht="22.5" customHeight="1" thickBot="1">
      <c r="B44" s="457" t="s">
        <v>25</v>
      </c>
      <c r="C44" s="478">
        <v>0</v>
      </c>
      <c r="D44" s="1078"/>
      <c r="E44" s="754" t="s">
        <v>13</v>
      </c>
      <c r="F44" s="775"/>
      <c r="I44" s="41"/>
      <c r="J44" s="41"/>
      <c r="K44" s="41"/>
      <c r="L44" s="41"/>
      <c r="M44" s="41"/>
      <c r="N44" s="41"/>
      <c r="O44" s="41"/>
      <c r="P44" s="41"/>
      <c r="Q44" s="41"/>
    </row>
    <row r="45" spans="2:17" ht="15.75" customHeight="1" thickBot="1">
      <c r="B45" s="457" t="s">
        <v>376</v>
      </c>
      <c r="C45" s="458"/>
      <c r="D45" s="459"/>
      <c r="E45" s="753" t="s">
        <v>305</v>
      </c>
      <c r="F45" s="438"/>
      <c r="I45" s="41"/>
      <c r="J45" s="41"/>
      <c r="K45" s="41"/>
      <c r="L45" s="41"/>
      <c r="M45" s="41"/>
      <c r="N45" s="41"/>
      <c r="O45" s="41"/>
      <c r="P45" s="41"/>
      <c r="Q45" s="41"/>
    </row>
    <row r="46" spans="2:17" ht="15.75" customHeight="1" thickBot="1">
      <c r="B46" s="457" t="s">
        <v>379</v>
      </c>
      <c r="C46" s="458"/>
      <c r="D46" s="459"/>
      <c r="E46" s="755" t="s">
        <v>306</v>
      </c>
      <c r="F46" s="447"/>
      <c r="I46" s="41"/>
      <c r="J46" s="41"/>
      <c r="K46" s="41"/>
      <c r="L46" s="41"/>
      <c r="M46" s="41"/>
      <c r="N46" s="41"/>
      <c r="O46" s="41"/>
      <c r="P46" s="41"/>
      <c r="Q46" s="41"/>
    </row>
    <row r="47" spans="2:17" ht="15.75" customHeight="1" thickBot="1">
      <c r="B47" s="457" t="s">
        <v>377</v>
      </c>
      <c r="C47" s="458"/>
      <c r="D47" s="479"/>
      <c r="F47" s="424"/>
      <c r="I47" s="41"/>
      <c r="J47" s="41"/>
      <c r="K47" s="41"/>
      <c r="L47" s="41"/>
      <c r="M47" s="41"/>
      <c r="N47" s="41"/>
      <c r="O47" s="41"/>
      <c r="P47" s="41"/>
      <c r="Q47" s="41"/>
    </row>
    <row r="48" spans="2:17" ht="15.75" customHeight="1" thickBot="1">
      <c r="B48" s="480" t="s">
        <v>378</v>
      </c>
      <c r="C48" s="481"/>
      <c r="D48" s="482"/>
      <c r="F48" s="424"/>
      <c r="I48" s="41"/>
      <c r="J48" s="41"/>
      <c r="K48" s="41"/>
      <c r="L48" s="41"/>
      <c r="M48" s="41"/>
      <c r="N48" s="41"/>
      <c r="O48" s="41"/>
      <c r="P48" s="41"/>
      <c r="Q48" s="41"/>
    </row>
    <row r="49" spans="2:17" ht="15.75" customHeight="1">
      <c r="B49" s="405"/>
      <c r="C49" s="405"/>
      <c r="D49" s="405"/>
      <c r="F49" s="405"/>
      <c r="I49" s="41"/>
      <c r="J49" s="41"/>
      <c r="K49" s="41"/>
      <c r="L49" s="41"/>
      <c r="M49" s="41"/>
      <c r="N49" s="41"/>
      <c r="O49" s="41"/>
      <c r="P49" s="41"/>
      <c r="Q49" s="41"/>
    </row>
    <row r="50" spans="4:17" ht="19.5" customHeight="1">
      <c r="D50" s="41"/>
      <c r="I50" s="41"/>
      <c r="J50" s="41"/>
      <c r="K50" s="41"/>
      <c r="L50" s="41"/>
      <c r="M50" s="41"/>
      <c r="N50" s="41"/>
      <c r="O50" s="41"/>
      <c r="P50" s="41"/>
      <c r="Q50" s="41"/>
    </row>
    <row r="51" spans="9:17" ht="15.75" thickBot="1">
      <c r="I51" s="41"/>
      <c r="J51" s="41"/>
      <c r="K51" s="41"/>
      <c r="L51" s="41"/>
      <c r="M51" s="41"/>
      <c r="N51" s="41"/>
      <c r="O51" s="41"/>
      <c r="P51" s="41"/>
      <c r="Q51" s="41"/>
    </row>
    <row r="52" spans="5:17" ht="15.75" thickTop="1">
      <c r="E52" s="1073" t="s">
        <v>403</v>
      </c>
      <c r="F52" s="1074"/>
      <c r="G52" s="1075"/>
      <c r="H52" s="529"/>
      <c r="I52" s="529"/>
      <c r="J52" s="41"/>
      <c r="K52" s="41"/>
      <c r="L52" s="41"/>
      <c r="M52" s="41"/>
      <c r="N52" s="41"/>
      <c r="O52" s="41"/>
      <c r="P52" s="41"/>
      <c r="Q52" s="41"/>
    </row>
    <row r="53" spans="5:17" ht="19.5" customHeight="1">
      <c r="E53" s="1043"/>
      <c r="F53" s="1035" t="s">
        <v>313</v>
      </c>
      <c r="G53" s="1044"/>
      <c r="J53" s="41"/>
      <c r="K53" s="41"/>
      <c r="L53" s="41"/>
      <c r="M53" s="41"/>
      <c r="N53" s="41"/>
      <c r="O53" s="41"/>
      <c r="P53" s="41"/>
      <c r="Q53" s="41"/>
    </row>
    <row r="54" spans="5:17" ht="19.5" customHeight="1">
      <c r="E54" s="1045"/>
      <c r="F54" s="1035" t="s">
        <v>401</v>
      </c>
      <c r="G54" s="1044"/>
      <c r="J54" s="41"/>
      <c r="K54" s="41"/>
      <c r="L54" s="41"/>
      <c r="M54" s="41"/>
      <c r="N54" s="41"/>
      <c r="O54" s="41"/>
      <c r="P54" s="41"/>
      <c r="Q54" s="41"/>
    </row>
    <row r="55" spans="5:17" ht="23.25" customHeight="1">
      <c r="E55" s="1046"/>
      <c r="F55" s="1035" t="s">
        <v>312</v>
      </c>
      <c r="G55" s="1044"/>
      <c r="J55" s="41"/>
      <c r="K55" s="41"/>
      <c r="L55" s="41"/>
      <c r="M55" s="41"/>
      <c r="N55" s="41"/>
      <c r="O55" s="41"/>
      <c r="P55" s="41"/>
      <c r="Q55" s="41"/>
    </row>
    <row r="56" spans="5:17" ht="21.75" customHeight="1" thickBot="1">
      <c r="E56" s="1047"/>
      <c r="F56" s="1048" t="s">
        <v>311</v>
      </c>
      <c r="G56" s="1049"/>
      <c r="J56" s="41"/>
      <c r="K56" s="41"/>
      <c r="L56" s="41"/>
      <c r="M56" s="41"/>
      <c r="N56" s="41"/>
      <c r="O56" s="41"/>
      <c r="P56" s="41"/>
      <c r="Q56" s="41"/>
    </row>
    <row r="57" spans="9:17" ht="21" customHeight="1" thickTop="1">
      <c r="I57" s="41"/>
      <c r="J57" s="41"/>
      <c r="K57" s="41"/>
      <c r="L57" s="41"/>
      <c r="M57" s="41"/>
      <c r="N57" s="41"/>
      <c r="O57" s="41"/>
      <c r="P57" s="41"/>
      <c r="Q57" s="41"/>
    </row>
    <row r="58" spans="9:17" ht="15">
      <c r="I58" s="41"/>
      <c r="J58" s="41"/>
      <c r="K58" s="41"/>
      <c r="L58" s="41"/>
      <c r="M58" s="41"/>
      <c r="N58" s="41"/>
      <c r="O58" s="41"/>
      <c r="P58" s="41"/>
      <c r="Q58" s="41"/>
    </row>
    <row r="59" spans="9:17" ht="15">
      <c r="I59" s="41"/>
      <c r="J59" s="41"/>
      <c r="K59" s="41"/>
      <c r="L59" s="41"/>
      <c r="M59" s="41"/>
      <c r="N59" s="41"/>
      <c r="O59" s="41"/>
      <c r="P59" s="41"/>
      <c r="Q59" s="41"/>
    </row>
    <row r="60" spans="9:17" ht="24" customHeight="1">
      <c r="I60" s="41"/>
      <c r="J60" s="41"/>
      <c r="K60" s="41"/>
      <c r="L60" s="41"/>
      <c r="M60" s="41"/>
      <c r="N60" s="41"/>
      <c r="O60" s="41"/>
      <c r="P60" s="41"/>
      <c r="Q60" s="41"/>
    </row>
    <row r="61" spans="9:17" ht="15.75" customHeight="1">
      <c r="I61" s="41"/>
      <c r="J61" s="41"/>
      <c r="K61" s="41"/>
      <c r="L61" s="41"/>
      <c r="M61" s="41"/>
      <c r="N61" s="41"/>
      <c r="O61" s="41"/>
      <c r="P61" s="41"/>
      <c r="Q61" s="41"/>
    </row>
    <row r="62" spans="9:17" ht="19.5" customHeight="1">
      <c r="I62" s="41"/>
      <c r="J62" s="41"/>
      <c r="K62" s="41"/>
      <c r="L62" s="41"/>
      <c r="M62" s="41"/>
      <c r="N62" s="41"/>
      <c r="O62" s="41"/>
      <c r="P62" s="41"/>
      <c r="Q62" s="41"/>
    </row>
    <row r="63" spans="9:17" ht="19.5" customHeight="1">
      <c r="I63" s="41"/>
      <c r="J63" s="41"/>
      <c r="K63" s="41"/>
      <c r="L63" s="41"/>
      <c r="M63" s="41"/>
      <c r="N63" s="41"/>
      <c r="O63" s="41"/>
      <c r="P63" s="41"/>
      <c r="Q63" s="41"/>
    </row>
    <row r="64" spans="9:17" ht="22.5" customHeight="1">
      <c r="I64" s="41"/>
      <c r="J64" s="41"/>
      <c r="K64" s="41"/>
      <c r="L64" s="41"/>
      <c r="M64" s="41"/>
      <c r="N64" s="41"/>
      <c r="O64" s="41"/>
      <c r="P64" s="41"/>
      <c r="Q64" s="41"/>
    </row>
    <row r="65" spans="9:17" ht="21.75" customHeight="1">
      <c r="I65" s="41"/>
      <c r="J65" s="41"/>
      <c r="K65" s="41"/>
      <c r="L65" s="41"/>
      <c r="M65" s="41"/>
      <c r="N65" s="41"/>
      <c r="O65" s="41"/>
      <c r="P65" s="41"/>
      <c r="Q65" s="41"/>
    </row>
    <row r="66" spans="9:17" ht="18" customHeight="1">
      <c r="I66" s="41"/>
      <c r="J66" s="41"/>
      <c r="K66" s="41"/>
      <c r="L66" s="41"/>
      <c r="M66" s="41"/>
      <c r="N66" s="41"/>
      <c r="O66" s="41"/>
      <c r="P66" s="41"/>
      <c r="Q66" s="41"/>
    </row>
    <row r="67" spans="9:17" ht="21" customHeight="1">
      <c r="I67" s="41"/>
      <c r="J67" s="41"/>
      <c r="K67" s="41"/>
      <c r="L67" s="41"/>
      <c r="M67" s="41"/>
      <c r="N67" s="41"/>
      <c r="O67" s="41"/>
      <c r="P67" s="41"/>
      <c r="Q67" s="41"/>
    </row>
    <row r="68" spans="9:17" ht="18" customHeight="1">
      <c r="I68" s="41"/>
      <c r="J68" s="41"/>
      <c r="K68" s="41"/>
      <c r="L68" s="41"/>
      <c r="M68" s="41"/>
      <c r="N68" s="41"/>
      <c r="O68" s="41"/>
      <c r="P68" s="41"/>
      <c r="Q68" s="41"/>
    </row>
    <row r="69" spans="9:17" ht="15">
      <c r="I69" s="41"/>
      <c r="J69" s="41"/>
      <c r="K69" s="41"/>
      <c r="L69" s="41"/>
      <c r="M69" s="41"/>
      <c r="N69" s="41"/>
      <c r="O69" s="41"/>
      <c r="P69" s="41"/>
      <c r="Q69" s="41"/>
    </row>
    <row r="70" spans="9:17" ht="15">
      <c r="I70" s="41"/>
      <c r="J70" s="41"/>
      <c r="K70" s="41"/>
      <c r="L70" s="41"/>
      <c r="M70" s="41"/>
      <c r="N70" s="41"/>
      <c r="O70" s="41"/>
      <c r="P70" s="41"/>
      <c r="Q70" s="41"/>
    </row>
    <row r="71" spans="9:17" ht="15">
      <c r="I71" s="41"/>
      <c r="J71" s="41"/>
      <c r="K71" s="41"/>
      <c r="L71" s="41"/>
      <c r="M71" s="41"/>
      <c r="N71" s="41"/>
      <c r="O71" s="41"/>
      <c r="P71" s="41"/>
      <c r="Q71" s="41"/>
    </row>
    <row r="72" spans="9:17" ht="15">
      <c r="I72" s="41"/>
      <c r="J72" s="41"/>
      <c r="K72" s="41"/>
      <c r="L72" s="41"/>
      <c r="M72" s="41"/>
      <c r="N72" s="41"/>
      <c r="O72" s="41"/>
      <c r="P72" s="41"/>
      <c r="Q72" s="41"/>
    </row>
    <row r="73" spans="11:17" ht="15">
      <c r="K73" s="41"/>
      <c r="L73" s="41"/>
      <c r="M73" s="41"/>
      <c r="N73" s="41"/>
      <c r="O73" s="41"/>
      <c r="P73" s="41"/>
      <c r="Q73" s="41"/>
    </row>
    <row r="74" spans="11:17" ht="15">
      <c r="K74" s="41"/>
      <c r="L74" s="41"/>
      <c r="M74" s="41"/>
      <c r="N74" s="41"/>
      <c r="O74" s="41"/>
      <c r="P74" s="41"/>
      <c r="Q74" s="41"/>
    </row>
    <row r="75" spans="11:17" ht="15">
      <c r="K75" s="41"/>
      <c r="L75" s="41"/>
      <c r="M75" s="41"/>
      <c r="N75" s="41"/>
      <c r="O75" s="41"/>
      <c r="P75" s="41"/>
      <c r="Q75" s="41"/>
    </row>
    <row r="76" spans="13:17" ht="16.5" customHeight="1">
      <c r="M76" s="41"/>
      <c r="N76" s="41"/>
      <c r="O76" s="41"/>
      <c r="P76" s="41"/>
      <c r="Q76" s="41"/>
    </row>
    <row r="77" spans="13:17" ht="19.5" customHeight="1">
      <c r="M77" s="41"/>
      <c r="N77" s="41"/>
      <c r="O77" s="41"/>
      <c r="P77" s="41"/>
      <c r="Q77" s="41"/>
    </row>
    <row r="78" spans="13:17" ht="15">
      <c r="M78" s="41"/>
      <c r="N78" s="41"/>
      <c r="O78" s="41"/>
      <c r="P78" s="41"/>
      <c r="Q78" s="41"/>
    </row>
    <row r="79" spans="4:17" ht="15">
      <c r="D79" s="41"/>
      <c r="M79" s="41"/>
      <c r="N79" s="41"/>
      <c r="O79" s="41"/>
      <c r="P79" s="41"/>
      <c r="Q79" s="41"/>
    </row>
    <row r="80" spans="4:17" ht="15">
      <c r="D80" s="41"/>
      <c r="M80" s="41"/>
      <c r="N80" s="41"/>
      <c r="O80" s="41"/>
      <c r="P80" s="41"/>
      <c r="Q80" s="41"/>
    </row>
    <row r="81" ht="15">
      <c r="D81" s="41"/>
    </row>
    <row r="82" ht="24.75" customHeight="1">
      <c r="D82" s="41"/>
    </row>
    <row r="83" ht="20.25" customHeight="1">
      <c r="D83" s="41"/>
    </row>
    <row r="84" ht="18.75" customHeight="1">
      <c r="D84" s="41"/>
    </row>
    <row r="85" ht="26.25" customHeight="1">
      <c r="D85" s="41"/>
    </row>
    <row r="86" ht="18" customHeight="1">
      <c r="D86" s="41"/>
    </row>
    <row r="87" ht="19.5" customHeight="1">
      <c r="D87" s="41"/>
    </row>
    <row r="88" ht="15">
      <c r="D88" s="41"/>
    </row>
    <row r="89" ht="15">
      <c r="D89" s="41"/>
    </row>
    <row r="90" ht="15">
      <c r="D90" s="41"/>
    </row>
    <row r="91" ht="15">
      <c r="D91" s="41"/>
    </row>
    <row r="92" ht="15">
      <c r="D92" s="41"/>
    </row>
    <row r="93" ht="15">
      <c r="D93" s="41"/>
    </row>
    <row r="94" ht="15">
      <c r="D94" s="41"/>
    </row>
    <row r="95" ht="15">
      <c r="D95" s="41"/>
    </row>
    <row r="96" ht="15">
      <c r="D96" s="41"/>
    </row>
    <row r="97" ht="15">
      <c r="D97" s="41"/>
    </row>
    <row r="98" ht="15">
      <c r="D98" s="41"/>
    </row>
    <row r="99" ht="15">
      <c r="D99" s="41"/>
    </row>
    <row r="100" ht="15">
      <c r="D100" s="41"/>
    </row>
    <row r="101" ht="15">
      <c r="D101" s="41"/>
    </row>
    <row r="102" ht="15">
      <c r="D102" s="41"/>
    </row>
    <row r="103" ht="15">
      <c r="D103" s="41"/>
    </row>
    <row r="104" ht="15">
      <c r="D104" s="41"/>
    </row>
    <row r="105" ht="15">
      <c r="D105" s="41"/>
    </row>
    <row r="106" ht="15">
      <c r="D106" s="41"/>
    </row>
    <row r="107" ht="15">
      <c r="D107" s="41"/>
    </row>
    <row r="108" ht="15">
      <c r="D108" s="41"/>
    </row>
    <row r="109" ht="15">
      <c r="D109" s="41"/>
    </row>
    <row r="110" ht="15">
      <c r="D110" s="41"/>
    </row>
    <row r="111" ht="15">
      <c r="D111" s="41"/>
    </row>
    <row r="112" ht="15">
      <c r="D112" s="41"/>
    </row>
    <row r="113" ht="15">
      <c r="D113" s="41"/>
    </row>
    <row r="114" ht="15">
      <c r="D114" s="41"/>
    </row>
    <row r="115" ht="15">
      <c r="D115" s="41"/>
    </row>
  </sheetData>
  <sheetProtection password="D997" sheet="1" objects="1" scenarios="1"/>
  <mergeCells count="3">
    <mergeCell ref="B15:D15"/>
    <mergeCell ref="E52:G52"/>
    <mergeCell ref="D42:D44"/>
  </mergeCells>
  <printOptions/>
  <pageMargins left="0.5" right="0.43" top="0.5" bottom="0.58" header="0.32" footer="0.36"/>
  <pageSetup blackAndWhite="1" fitToHeight="1" fitToWidth="1" horizontalDpi="300" verticalDpi="300" orientation="portrait" scale="40" r:id="rId3"/>
  <legacyDrawing r:id="rId2"/>
</worksheet>
</file>

<file path=xl/worksheets/sheet3.xml><?xml version="1.0" encoding="utf-8"?>
<worksheet xmlns="http://schemas.openxmlformats.org/spreadsheetml/2006/main" xmlns:r="http://schemas.openxmlformats.org/officeDocument/2006/relationships">
  <sheetPr codeName="Sheet2"/>
  <dimension ref="B2:L82"/>
  <sheetViews>
    <sheetView showGridLines="0" defaultGridColor="0" view="pageBreakPreview" zoomScale="65" zoomScaleNormal="80" zoomScaleSheetLayoutView="65" colorId="50" workbookViewId="0" topLeftCell="A1">
      <selection activeCell="A1" sqref="A1"/>
    </sheetView>
  </sheetViews>
  <sheetFormatPr defaultColWidth="9.140625" defaultRowHeight="15"/>
  <cols>
    <col min="1" max="1" width="3.8515625" style="22" customWidth="1"/>
    <col min="2" max="2" width="42.421875" style="22" customWidth="1"/>
    <col min="3" max="3" width="18.7109375" style="22" customWidth="1"/>
    <col min="4" max="4" width="3.140625" style="22" customWidth="1"/>
    <col min="5" max="5" width="42.8515625" style="22" customWidth="1"/>
    <col min="6" max="6" width="17.28125" style="22" customWidth="1"/>
    <col min="7" max="7" width="9.8515625" style="22" customWidth="1"/>
    <col min="8" max="8" width="3.421875" style="22" customWidth="1"/>
    <col min="9" max="9" width="42.00390625" style="22" customWidth="1"/>
    <col min="10" max="10" width="16.7109375" style="22" customWidth="1"/>
    <col min="11" max="12" width="5.28125" style="22" customWidth="1"/>
    <col min="13" max="13" width="31.57421875" style="22" customWidth="1"/>
    <col min="14" max="14" width="14.421875" style="22" customWidth="1"/>
    <col min="15" max="16384" width="8.8515625" style="22" customWidth="1"/>
  </cols>
  <sheetData>
    <row r="1" ht="15"/>
    <row r="2" ht="17.25" thickBot="1">
      <c r="B2" s="746" t="s">
        <v>352</v>
      </c>
    </row>
    <row r="3" spans="2:12" ht="17.25" thickBot="1">
      <c r="B3" s="1079" t="s">
        <v>386</v>
      </c>
      <c r="C3" s="1080"/>
      <c r="D3" s="1080"/>
      <c r="E3" s="1080"/>
      <c r="F3" s="1080"/>
      <c r="G3" s="1080"/>
      <c r="H3" s="1080"/>
      <c r="I3" s="1080"/>
      <c r="J3" s="1080"/>
      <c r="K3" s="1081"/>
      <c r="L3" s="995"/>
    </row>
    <row r="4" spans="2:12" ht="17.25" thickBot="1">
      <c r="B4" s="552"/>
      <c r="C4" s="553"/>
      <c r="D4" s="553"/>
      <c r="E4" s="553"/>
      <c r="F4" s="553"/>
      <c r="G4" s="553"/>
      <c r="H4" s="553"/>
      <c r="I4" s="554"/>
      <c r="J4" s="554"/>
      <c r="K4" s="555"/>
      <c r="L4" s="553"/>
    </row>
    <row r="5" spans="2:12" ht="21" customHeight="1" thickBot="1">
      <c r="B5" s="1091" t="s">
        <v>309</v>
      </c>
      <c r="C5" s="1093"/>
      <c r="D5" s="952"/>
      <c r="E5" s="1088" t="s">
        <v>29</v>
      </c>
      <c r="F5" s="1089"/>
      <c r="G5" s="1090"/>
      <c r="H5" s="23"/>
      <c r="I5" s="1100" t="s">
        <v>184</v>
      </c>
      <c r="J5" s="1101"/>
      <c r="K5" s="1102"/>
      <c r="L5" s="140"/>
    </row>
    <row r="6" spans="2:12" ht="15.75" customHeight="1" thickBot="1">
      <c r="B6" s="1094"/>
      <c r="C6" s="1095"/>
      <c r="D6" s="23"/>
      <c r="E6" s="515" t="s">
        <v>29</v>
      </c>
      <c r="F6" s="516">
        <f>HCost</f>
        <v>350000</v>
      </c>
      <c r="G6" s="556"/>
      <c r="I6" s="494" t="s">
        <v>235</v>
      </c>
      <c r="J6" s="517">
        <f>Inputs!Term</f>
        <v>5</v>
      </c>
      <c r="K6" s="501"/>
      <c r="L6" s="996"/>
    </row>
    <row r="7" spans="2:12" ht="15.75" thickBot="1">
      <c r="B7" s="486" t="s">
        <v>0</v>
      </c>
      <c r="C7" s="487">
        <f>FCost</f>
        <v>414644.7</v>
      </c>
      <c r="E7" s="494" t="s">
        <v>295</v>
      </c>
      <c r="F7" s="497">
        <f>F6*J22</f>
        <v>3500</v>
      </c>
      <c r="G7" s="525"/>
      <c r="I7" s="494" t="s">
        <v>389</v>
      </c>
      <c r="J7" s="500">
        <f>'Costs &amp; Savings'!N9</f>
        <v>210000</v>
      </c>
      <c r="K7" s="501"/>
      <c r="L7" s="996"/>
    </row>
    <row r="8" spans="2:12" ht="19.5" customHeight="1" thickBot="1">
      <c r="B8" s="488" t="s">
        <v>3</v>
      </c>
      <c r="C8" s="489">
        <f>C9/C7</f>
        <v>0</v>
      </c>
      <c r="E8" s="494" t="s">
        <v>33</v>
      </c>
      <c r="F8" s="497">
        <f>'Costs &amp; Savings'!D5</f>
        <v>3500</v>
      </c>
      <c r="G8" s="561">
        <f>Inputs!D17</f>
        <v>0.01</v>
      </c>
      <c r="I8" s="494" t="s">
        <v>370</v>
      </c>
      <c r="J8" s="518">
        <f>Inputs!Savings_Split_to_ESCO</f>
        <v>0.5</v>
      </c>
      <c r="K8" s="501"/>
      <c r="L8" s="996"/>
    </row>
    <row r="9" spans="2:12" ht="18" customHeight="1" thickBot="1">
      <c r="B9" s="488" t="s">
        <v>341</v>
      </c>
      <c r="C9" s="506">
        <f>Inputs!F37*' Summary'!C7</f>
        <v>0</v>
      </c>
      <c r="E9" s="511" t="s">
        <v>34</v>
      </c>
      <c r="F9" s="512">
        <f>SUM(F6:F8)</f>
        <v>357000</v>
      </c>
      <c r="G9" s="562"/>
      <c r="I9" s="494" t="s">
        <v>5</v>
      </c>
      <c r="J9" s="519">
        <f>1-Savings_Split_to_ESCO</f>
        <v>0.5</v>
      </c>
      <c r="K9" s="501"/>
      <c r="L9" s="996"/>
    </row>
    <row r="10" spans="2:12" ht="19.5" customHeight="1" thickBot="1">
      <c r="B10" s="488" t="s">
        <v>342</v>
      </c>
      <c r="C10" s="546">
        <f>Inputs!Loan_1_Interest</f>
        <v>0</v>
      </c>
      <c r="E10" s="1091" t="s">
        <v>190</v>
      </c>
      <c r="F10" s="1092"/>
      <c r="G10" s="1093"/>
      <c r="I10" s="494" t="s">
        <v>371</v>
      </c>
      <c r="J10" s="518">
        <f>Inputs!D33</f>
        <v>0.25</v>
      </c>
      <c r="K10" s="501"/>
      <c r="L10" s="996"/>
    </row>
    <row r="11" spans="2:12" ht="18" customHeight="1" thickBot="1">
      <c r="B11" s="488" t="s">
        <v>343</v>
      </c>
      <c r="C11" s="547">
        <f>Inputs!Loan_1_Term</f>
        <v>0</v>
      </c>
      <c r="E11" s="513" t="s">
        <v>66</v>
      </c>
      <c r="F11" s="514"/>
      <c r="G11" s="556"/>
      <c r="I11" s="524" t="s">
        <v>6</v>
      </c>
      <c r="J11" s="520" t="b">
        <f>Inputs!SMaint</f>
        <v>1</v>
      </c>
      <c r="K11" s="501"/>
      <c r="L11" s="996"/>
    </row>
    <row r="12" spans="2:12" ht="15.75" thickBot="1">
      <c r="B12" s="488" t="s">
        <v>344</v>
      </c>
      <c r="C12" s="547">
        <f>Inputs!Loan_1_Grace</f>
        <v>0</v>
      </c>
      <c r="E12" s="494" t="s">
        <v>36</v>
      </c>
      <c r="F12" s="499">
        <f>Inputs!C20</f>
        <v>5000</v>
      </c>
      <c r="G12" s="557">
        <f>F12/F6</f>
        <v>0.014285714285714285</v>
      </c>
      <c r="I12" s="494"/>
      <c r="J12" s="521"/>
      <c r="K12" s="501"/>
      <c r="L12" s="996"/>
    </row>
    <row r="13" spans="2:12" ht="22.5" customHeight="1" thickBot="1">
      <c r="B13" s="488" t="s">
        <v>345</v>
      </c>
      <c r="C13" s="490">
        <f>Inputs!F41</f>
        <v>2</v>
      </c>
      <c r="E13" s="494" t="s">
        <v>28</v>
      </c>
      <c r="F13" s="497">
        <f>'Costs &amp; Savings'!D10</f>
        <v>17500</v>
      </c>
      <c r="G13" s="558">
        <f>Inputs!D21</f>
        <v>0.05</v>
      </c>
      <c r="I13" s="494" t="s">
        <v>187</v>
      </c>
      <c r="J13" s="500">
        <f>J7*J9</f>
        <v>105000</v>
      </c>
      <c r="K13" s="501"/>
      <c r="L13" s="996"/>
    </row>
    <row r="14" spans="2:12" ht="15.75" thickBot="1">
      <c r="B14" s="488" t="s">
        <v>4</v>
      </c>
      <c r="C14" s="487">
        <f>-Debt!D32</f>
        <v>0</v>
      </c>
      <c r="E14" s="494" t="s">
        <v>35</v>
      </c>
      <c r="F14" s="497">
        <f>'Costs &amp; Savings'!D8</f>
        <v>17500</v>
      </c>
      <c r="G14" s="558">
        <f>Inputs!D22</f>
        <v>0.05</v>
      </c>
      <c r="I14" s="524" t="s">
        <v>7</v>
      </c>
      <c r="J14" s="522"/>
      <c r="K14" s="525"/>
      <c r="L14" s="997"/>
    </row>
    <row r="15" spans="2:12" ht="25.5" customHeight="1" thickBot="1">
      <c r="B15" s="488" t="s">
        <v>153</v>
      </c>
      <c r="C15" s="491" t="e">
        <f>('SPE Output'!F60+'SPE Output'!F44)/C14</f>
        <v>#DIV/0!</v>
      </c>
      <c r="E15" s="502" t="s">
        <v>76</v>
      </c>
      <c r="F15" s="498">
        <f>SUM(F12:F14)</f>
        <v>40000</v>
      </c>
      <c r="G15" s="558">
        <f>F15/F9</f>
        <v>0.11204481792717087</v>
      </c>
      <c r="I15" s="524" t="s">
        <v>8</v>
      </c>
      <c r="J15" s="523">
        <f>Inputs!D36</f>
        <v>0.01</v>
      </c>
      <c r="K15" s="505"/>
      <c r="L15" s="998"/>
    </row>
    <row r="16" spans="2:12" ht="18" customHeight="1" thickBot="1">
      <c r="B16" s="492" t="s">
        <v>45</v>
      </c>
      <c r="C16" s="493">
        <f>-Debt!B21-Debt!B27-Debt!B40</f>
        <v>0</v>
      </c>
      <c r="E16" s="503" t="s">
        <v>191</v>
      </c>
      <c r="F16" s="497"/>
      <c r="G16" s="558"/>
      <c r="I16" s="524" t="s">
        <v>9</v>
      </c>
      <c r="J16" s="523">
        <f>Inputs!D37</f>
        <v>0.01</v>
      </c>
      <c r="K16" s="505"/>
      <c r="L16" s="998"/>
    </row>
    <row r="17" spans="2:12" ht="21.75" customHeight="1" thickBot="1">
      <c r="B17" s="492" t="s">
        <v>346</v>
      </c>
      <c r="C17" s="493">
        <f>C7-Loan_1_Amount</f>
        <v>414644.7</v>
      </c>
      <c r="E17" s="494" t="s">
        <v>38</v>
      </c>
      <c r="F17" s="499">
        <f>Inputs!C24</f>
        <v>5000</v>
      </c>
      <c r="G17" s="557">
        <f>F17/F6</f>
        <v>0.014285714285714285</v>
      </c>
      <c r="I17" s="526" t="s">
        <v>10</v>
      </c>
      <c r="J17" s="527">
        <f>Inputs!D38</f>
        <v>0.01</v>
      </c>
      <c r="K17" s="528"/>
      <c r="L17" s="998"/>
    </row>
    <row r="18" spans="2:7" ht="19.5" customHeight="1" thickBot="1">
      <c r="B18" s="494" t="s">
        <v>347</v>
      </c>
      <c r="C18" s="548">
        <f>Inputs!F42</f>
        <v>0</v>
      </c>
      <c r="E18" s="494" t="s">
        <v>40</v>
      </c>
      <c r="F18" s="497">
        <f>'Costs &amp; Savings'!D13</f>
        <v>3970</v>
      </c>
      <c r="G18" s="559">
        <f>Inputs!D25</f>
        <v>0.01</v>
      </c>
    </row>
    <row r="19" spans="2:12" ht="21.75" customHeight="1" thickBot="1">
      <c r="B19" s="551" t="s">
        <v>308</v>
      </c>
      <c r="C19" s="504">
        <f>Cost_Loan_Guarantee</f>
        <v>0</v>
      </c>
      <c r="E19" s="494" t="s">
        <v>42</v>
      </c>
      <c r="F19" s="497">
        <f>'Costs &amp; Savings'!D14</f>
        <v>3500</v>
      </c>
      <c r="G19" s="559">
        <f>Inputs!D26</f>
        <v>0.01</v>
      </c>
      <c r="I19" s="1082" t="s">
        <v>351</v>
      </c>
      <c r="J19" s="1099"/>
      <c r="K19" s="1083"/>
      <c r="L19" s="140"/>
    </row>
    <row r="20" spans="2:12" ht="23.25" customHeight="1" thickBot="1">
      <c r="B20" s="488" t="s">
        <v>13</v>
      </c>
      <c r="C20" s="495">
        <f>Inputs!F44</f>
        <v>0</v>
      </c>
      <c r="E20" s="494" t="s">
        <v>44</v>
      </c>
      <c r="F20" s="499">
        <f>Inputs!C27</f>
        <v>5000</v>
      </c>
      <c r="G20" s="557">
        <f>F20/F$6</f>
        <v>0.014285714285714285</v>
      </c>
      <c r="I20" s="563" t="s">
        <v>18</v>
      </c>
      <c r="J20" s="564">
        <f>Inputs!Inflation</f>
        <v>0.025</v>
      </c>
      <c r="K20" s="565"/>
      <c r="L20" s="999"/>
    </row>
    <row r="21" spans="2:12" ht="21.75" customHeight="1" thickBot="1">
      <c r="B21" s="494" t="s">
        <v>348</v>
      </c>
      <c r="C21" s="549">
        <f>Inputs!CInt</f>
        <v>0</v>
      </c>
      <c r="E21" s="494" t="s">
        <v>45</v>
      </c>
      <c r="F21" s="497">
        <f>'Costs &amp; Savings'!D16</f>
        <v>0</v>
      </c>
      <c r="G21" s="557">
        <f>F21/F$6</f>
        <v>0</v>
      </c>
      <c r="I21" s="566" t="s">
        <v>144</v>
      </c>
      <c r="J21" s="567">
        <f>Inputs!D41</f>
        <v>0.34</v>
      </c>
      <c r="K21" s="568"/>
      <c r="L21" s="999"/>
    </row>
    <row r="22" spans="2:12" ht="21" customHeight="1" thickBot="1">
      <c r="B22" s="496" t="s">
        <v>349</v>
      </c>
      <c r="C22" s="550">
        <f>Inputs!Cterm</f>
        <v>0</v>
      </c>
      <c r="E22" s="502" t="s">
        <v>192</v>
      </c>
      <c r="F22" s="498">
        <f>SUM(F17:F21)</f>
        <v>17470</v>
      </c>
      <c r="G22" s="557">
        <f>F22/(F9+F15)</f>
        <v>0.04400503778337531</v>
      </c>
      <c r="I22" s="566" t="s">
        <v>277</v>
      </c>
      <c r="J22" s="567">
        <f>Inputs!D18</f>
        <v>0.01</v>
      </c>
      <c r="K22" s="568"/>
      <c r="L22" s="999"/>
    </row>
    <row r="23" spans="3:12" ht="15.75" thickBot="1">
      <c r="C23" s="433"/>
      <c r="E23" s="508" t="s">
        <v>206</v>
      </c>
      <c r="F23" s="498">
        <f>F9+F15+F22</f>
        <v>414470</v>
      </c>
      <c r="G23" s="557"/>
      <c r="I23" s="566" t="s">
        <v>278</v>
      </c>
      <c r="J23" s="567">
        <f>Inputs!D29</f>
        <v>0.01</v>
      </c>
      <c r="K23" s="568"/>
      <c r="L23" s="999"/>
    </row>
    <row r="24" spans="2:12" ht="19.5" customHeight="1" thickBot="1">
      <c r="B24" s="1082" t="s">
        <v>388</v>
      </c>
      <c r="C24" s="1083"/>
      <c r="D24" s="948"/>
      <c r="E24" s="503" t="s">
        <v>194</v>
      </c>
      <c r="F24" s="500"/>
      <c r="G24" s="507"/>
      <c r="I24" s="566" t="s">
        <v>143</v>
      </c>
      <c r="J24" s="569">
        <f>(F14+F12+F13+F17+F18+F19+F25)</f>
        <v>93917</v>
      </c>
      <c r="K24" s="568"/>
      <c r="L24" s="999"/>
    </row>
    <row r="25" spans="2:12" ht="15.75" thickBot="1">
      <c r="B25" s="960" t="s">
        <v>380</v>
      </c>
      <c r="C25" s="961">
        <f>Inputs!J37</f>
        <v>0</v>
      </c>
      <c r="E25" s="494" t="s">
        <v>369</v>
      </c>
      <c r="F25" s="497">
        <f>'Customer Output'!D8</f>
        <v>41447</v>
      </c>
      <c r="G25" s="558">
        <f>Inputs!ESCO_Profit</f>
        <v>0.1</v>
      </c>
      <c r="I25" s="566" t="s">
        <v>23</v>
      </c>
      <c r="J25" s="570">
        <f>Inputs!C42</f>
        <v>5</v>
      </c>
      <c r="K25" s="571" t="s">
        <v>1</v>
      </c>
      <c r="L25" s="49"/>
    </row>
    <row r="26" spans="2:12" ht="15.75" thickBot="1">
      <c r="B26" s="960" t="s">
        <v>381</v>
      </c>
      <c r="C26" s="961">
        <f>Inputs!J38</f>
        <v>0</v>
      </c>
      <c r="E26" s="508" t="s">
        <v>295</v>
      </c>
      <c r="F26" s="497">
        <f>'Costs &amp; Savings'!D20</f>
        <v>174.70000000000002</v>
      </c>
      <c r="G26" s="558"/>
      <c r="I26" s="566" t="s">
        <v>24</v>
      </c>
      <c r="J26" s="572">
        <v>1</v>
      </c>
      <c r="K26" s="571"/>
      <c r="L26" s="49"/>
    </row>
    <row r="27" spans="2:12" ht="24" customHeight="1" thickBot="1">
      <c r="B27" s="962"/>
      <c r="C27" s="963"/>
      <c r="E27" s="509" t="s">
        <v>193</v>
      </c>
      <c r="F27" s="510">
        <f>F9+F15+F22+F25+F26</f>
        <v>456091.7</v>
      </c>
      <c r="G27" s="560"/>
      <c r="I27" s="566" t="s">
        <v>25</v>
      </c>
      <c r="J27" s="573">
        <f>Inputs!C44</f>
        <v>0</v>
      </c>
      <c r="K27" s="571"/>
      <c r="L27" s="49"/>
    </row>
    <row r="28" spans="2:12" ht="15.75" customHeight="1" thickBot="1">
      <c r="B28" s="964" t="s">
        <v>382</v>
      </c>
      <c r="C28" s="961">
        <f>Inputs!J40</f>
        <v>0</v>
      </c>
      <c r="F28" s="433"/>
      <c r="H28" s="23"/>
      <c r="I28" s="566" t="s">
        <v>279</v>
      </c>
      <c r="J28" s="574">
        <f>K28*J7</f>
        <v>0</v>
      </c>
      <c r="K28" s="575">
        <f>Inputs!D45</f>
        <v>0</v>
      </c>
      <c r="L28" s="1000"/>
    </row>
    <row r="29" spans="2:12" ht="21.75" customHeight="1" thickBot="1" thickTop="1">
      <c r="B29" s="965" t="s">
        <v>385</v>
      </c>
      <c r="C29" s="966">
        <f>Inputs!J41</f>
        <v>0</v>
      </c>
      <c r="E29" s="1096" t="s">
        <v>403</v>
      </c>
      <c r="F29" s="1097"/>
      <c r="G29" s="1098"/>
      <c r="I29" s="566" t="s">
        <v>280</v>
      </c>
      <c r="J29" s="574">
        <f>K29*J7</f>
        <v>0</v>
      </c>
      <c r="K29" s="575">
        <f>Inputs!D46</f>
        <v>0</v>
      </c>
      <c r="L29" s="1000"/>
    </row>
    <row r="30" spans="2:12" ht="21.75" customHeight="1" thickBot="1">
      <c r="B30" s="950"/>
      <c r="C30" s="951"/>
      <c r="E30" s="1052" t="s">
        <v>313</v>
      </c>
      <c r="F30" s="1051"/>
      <c r="G30" s="1053"/>
      <c r="I30" s="566" t="s">
        <v>287</v>
      </c>
      <c r="J30" s="576">
        <f>Project_Savings*K30</f>
        <v>0</v>
      </c>
      <c r="K30" s="575">
        <f>Inputs!D47</f>
        <v>0</v>
      </c>
      <c r="L30" s="1000"/>
    </row>
    <row r="31" spans="5:12" ht="21.75" customHeight="1" thickBot="1">
      <c r="E31" s="1052" t="s">
        <v>401</v>
      </c>
      <c r="F31" s="49"/>
      <c r="G31" s="1054"/>
      <c r="I31" s="566" t="str">
        <f>Inputs!B48</f>
        <v>Annual M&amp;V Costs for Customer </v>
      </c>
      <c r="J31" s="576">
        <f>Project_Savings*K31</f>
        <v>0</v>
      </c>
      <c r="K31" s="577">
        <f>Inputs!D48</f>
        <v>0</v>
      </c>
      <c r="L31" s="1001"/>
    </row>
    <row r="32" spans="5:12" ht="21.75" customHeight="1" thickBot="1">
      <c r="E32" s="1052" t="s">
        <v>312</v>
      </c>
      <c r="F32" s="1032"/>
      <c r="G32" s="1055"/>
      <c r="I32" s="578" t="s">
        <v>27</v>
      </c>
      <c r="J32" s="579">
        <f>Term</f>
        <v>5</v>
      </c>
      <c r="K32" s="580"/>
      <c r="L32" s="49"/>
    </row>
    <row r="33" spans="5:7" ht="21.75" customHeight="1" thickBot="1">
      <c r="E33" s="1056" t="s">
        <v>311</v>
      </c>
      <c r="F33" s="1057"/>
      <c r="G33" s="1058"/>
    </row>
    <row r="34" ht="21.75" customHeight="1" thickBot="1" thickTop="1">
      <c r="E34" s="1050"/>
    </row>
    <row r="35" spans="2:12" ht="18" customHeight="1" thickBot="1">
      <c r="B35" s="1079" t="s">
        <v>398</v>
      </c>
      <c r="C35" s="1080"/>
      <c r="D35" s="1080"/>
      <c r="E35" s="1080"/>
      <c r="F35" s="1080"/>
      <c r="G35" s="1080"/>
      <c r="H35" s="1080"/>
      <c r="I35" s="1080"/>
      <c r="J35" s="1080"/>
      <c r="K35" s="1081"/>
      <c r="L35" s="995"/>
    </row>
    <row r="36" spans="2:6" ht="18" customHeight="1" thickBot="1">
      <c r="B36" s="529"/>
      <c r="C36" s="529"/>
      <c r="D36" s="529"/>
      <c r="E36" s="529"/>
      <c r="F36" s="529"/>
    </row>
    <row r="37" spans="2:10" ht="15.75" thickBot="1">
      <c r="B37" s="604" t="s">
        <v>350</v>
      </c>
      <c r="C37" s="605" t="s">
        <v>183</v>
      </c>
      <c r="E37" s="602" t="s">
        <v>310</v>
      </c>
      <c r="F37" s="603" t="s">
        <v>183</v>
      </c>
      <c r="I37" s="942" t="s">
        <v>374</v>
      </c>
      <c r="J37" s="943"/>
    </row>
    <row r="38" spans="2:10" ht="15.75" thickBot="1">
      <c r="B38" s="581" t="s">
        <v>199</v>
      </c>
      <c r="C38" s="582"/>
      <c r="E38" s="593" t="s">
        <v>199</v>
      </c>
      <c r="F38" s="594"/>
      <c r="I38" s="805"/>
      <c r="J38" s="806" t="s">
        <v>183</v>
      </c>
    </row>
    <row r="39" spans="2:10" ht="15.75" thickBot="1">
      <c r="B39" s="583" t="s">
        <v>145</v>
      </c>
      <c r="C39" s="584">
        <f>Inputs!F18</f>
        <v>5000000</v>
      </c>
      <c r="D39" s="405"/>
      <c r="E39" s="417" t="s">
        <v>145</v>
      </c>
      <c r="F39" s="595">
        <f>Inputs!Customer_Income</f>
        <v>0</v>
      </c>
      <c r="I39" s="791" t="s">
        <v>199</v>
      </c>
      <c r="J39" s="792"/>
    </row>
    <row r="40" spans="2:10" ht="15.75" thickBot="1">
      <c r="B40" s="583" t="s">
        <v>186</v>
      </c>
      <c r="C40" s="584">
        <f>Inputs!F19</f>
        <v>2000000</v>
      </c>
      <c r="D40" s="405"/>
      <c r="E40" s="417" t="s">
        <v>186</v>
      </c>
      <c r="F40" s="595">
        <f>Inputs!Customer_Expenses</f>
        <v>0</v>
      </c>
      <c r="I40" s="793" t="s">
        <v>145</v>
      </c>
      <c r="J40" s="940">
        <f>Inputs!J18</f>
        <v>0</v>
      </c>
    </row>
    <row r="41" spans="2:10" ht="15.75" thickBot="1">
      <c r="B41" s="583" t="s">
        <v>207</v>
      </c>
      <c r="C41" s="584">
        <f>Inputs!F20</f>
        <v>500000</v>
      </c>
      <c r="D41" s="405"/>
      <c r="E41" s="417" t="s">
        <v>207</v>
      </c>
      <c r="F41" s="595">
        <f>Inputs!Customer_Interest_Expenses</f>
        <v>0</v>
      </c>
      <c r="I41" s="795" t="s">
        <v>186</v>
      </c>
      <c r="J41" s="940">
        <f>Inputs!J19</f>
        <v>0</v>
      </c>
    </row>
    <row r="42" spans="2:10" ht="15.75" thickBot="1">
      <c r="B42" s="583" t="s">
        <v>229</v>
      </c>
      <c r="C42" s="584">
        <f>Inputs!F21</f>
        <v>500000</v>
      </c>
      <c r="D42" s="405"/>
      <c r="E42" s="417" t="s">
        <v>229</v>
      </c>
      <c r="F42" s="595">
        <f>Inputs!H21</f>
        <v>0</v>
      </c>
      <c r="I42" s="795" t="s">
        <v>207</v>
      </c>
      <c r="J42" s="940">
        <f>Inputs!J20</f>
        <v>0</v>
      </c>
    </row>
    <row r="43" spans="2:10" ht="15.75" thickBot="1">
      <c r="B43" s="583" t="s">
        <v>185</v>
      </c>
      <c r="C43" s="584">
        <f>Inputs!F22</f>
        <v>500000</v>
      </c>
      <c r="D43" s="405"/>
      <c r="E43" s="417" t="s">
        <v>185</v>
      </c>
      <c r="F43" s="595">
        <f>Inputs!Customer_Energy_Expenses</f>
        <v>0</v>
      </c>
      <c r="I43" s="795" t="s">
        <v>229</v>
      </c>
      <c r="J43" s="940">
        <f>Inputs!J21</f>
        <v>0</v>
      </c>
    </row>
    <row r="44" spans="2:10" ht="16.5" customHeight="1" thickBot="1">
      <c r="B44" s="585" t="s">
        <v>200</v>
      </c>
      <c r="C44" s="586"/>
      <c r="D44" s="405"/>
      <c r="E44" s="418" t="s">
        <v>200</v>
      </c>
      <c r="F44" s="596"/>
      <c r="I44" s="795" t="s">
        <v>185</v>
      </c>
      <c r="J44" s="940">
        <f>Inputs!J22</f>
        <v>0</v>
      </c>
    </row>
    <row r="45" spans="2:10" ht="17.25" customHeight="1" thickBot="1">
      <c r="B45" s="583" t="s">
        <v>178</v>
      </c>
      <c r="C45" s="584">
        <f>Inputs!F24</f>
        <v>10000000</v>
      </c>
      <c r="D45" s="405"/>
      <c r="E45" s="417" t="s">
        <v>178</v>
      </c>
      <c r="F45" s="595">
        <f>Inputs!Customer_Long_term_or_Fixed_Assets</f>
        <v>0</v>
      </c>
      <c r="I45" s="796" t="s">
        <v>200</v>
      </c>
      <c r="J45" s="797"/>
    </row>
    <row r="46" spans="2:10" ht="19.5" customHeight="1" thickBot="1">
      <c r="B46" s="583" t="s">
        <v>198</v>
      </c>
      <c r="C46" s="584">
        <f>Inputs!F25</f>
        <v>1000000</v>
      </c>
      <c r="D46" s="405"/>
      <c r="E46" s="417" t="s">
        <v>198</v>
      </c>
      <c r="F46" s="595">
        <v>5000</v>
      </c>
      <c r="I46" s="795" t="s">
        <v>178</v>
      </c>
      <c r="J46" s="940">
        <f>Inputs!J24</f>
        <v>0</v>
      </c>
    </row>
    <row r="47" spans="2:10" ht="19.5" customHeight="1" thickBot="1">
      <c r="B47" s="583" t="s">
        <v>179</v>
      </c>
      <c r="C47" s="584">
        <f>Inputs!F26</f>
        <v>5000000</v>
      </c>
      <c r="D47" s="405"/>
      <c r="E47" s="417" t="s">
        <v>179</v>
      </c>
      <c r="F47" s="595">
        <f>Inputs!Customer_Long_term_Liabilities</f>
        <v>0</v>
      </c>
      <c r="I47" s="795" t="s">
        <v>198</v>
      </c>
      <c r="J47" s="940">
        <f>Inputs!J25</f>
        <v>0</v>
      </c>
    </row>
    <row r="48" spans="2:10" ht="19.5" customHeight="1" thickBot="1">
      <c r="B48" s="583" t="s">
        <v>180</v>
      </c>
      <c r="C48" s="584">
        <f>Inputs!F27</f>
        <v>2000000</v>
      </c>
      <c r="D48" s="405"/>
      <c r="E48" s="417" t="s">
        <v>180</v>
      </c>
      <c r="F48" s="595">
        <v>5000</v>
      </c>
      <c r="I48" s="795" t="s">
        <v>179</v>
      </c>
      <c r="J48" s="940">
        <f>Inputs!J26</f>
        <v>0</v>
      </c>
    </row>
    <row r="49" spans="2:10" ht="15.75" thickBot="1">
      <c r="B49" s="585" t="s">
        <v>201</v>
      </c>
      <c r="C49" s="586"/>
      <c r="D49" s="405"/>
      <c r="E49" s="418" t="s">
        <v>201</v>
      </c>
      <c r="F49" s="596"/>
      <c r="I49" s="795" t="s">
        <v>180</v>
      </c>
      <c r="J49" s="940">
        <f>Inputs!J27</f>
        <v>0</v>
      </c>
    </row>
    <row r="50" spans="2:10" ht="15.75" thickBot="1">
      <c r="B50" s="583" t="s">
        <v>177</v>
      </c>
      <c r="C50" s="584">
        <f>Inputs!F29</f>
        <v>5000000</v>
      </c>
      <c r="D50" s="405"/>
      <c r="E50" s="417" t="s">
        <v>177</v>
      </c>
      <c r="F50" s="595">
        <f>Inputs!Customer_Other_Operating_Activities</f>
        <v>0</v>
      </c>
      <c r="I50" s="796" t="s">
        <v>201</v>
      </c>
      <c r="J50" s="797"/>
    </row>
    <row r="51" spans="2:10" ht="15.75" thickBot="1">
      <c r="B51" s="587" t="s">
        <v>169</v>
      </c>
      <c r="C51" s="584">
        <f>Inputs!F30</f>
        <v>2000000</v>
      </c>
      <c r="D51" s="405"/>
      <c r="E51" s="420" t="s">
        <v>169</v>
      </c>
      <c r="F51" s="595">
        <f>Inputs!Customer_Total_Investing_Activities</f>
        <v>0</v>
      </c>
      <c r="I51" s="795" t="s">
        <v>177</v>
      </c>
      <c r="J51" s="940">
        <f>Inputs!J29</f>
        <v>0</v>
      </c>
    </row>
    <row r="52" spans="2:10" ht="15.75" thickBot="1">
      <c r="B52" s="588" t="s">
        <v>170</v>
      </c>
      <c r="C52" s="589"/>
      <c r="D52" s="405"/>
      <c r="E52" s="421" t="s">
        <v>170</v>
      </c>
      <c r="F52" s="597"/>
      <c r="I52" s="798" t="s">
        <v>169</v>
      </c>
      <c r="J52" s="940">
        <f>Inputs!J30</f>
        <v>0</v>
      </c>
    </row>
    <row r="53" spans="2:10" ht="15.75" thickBot="1">
      <c r="B53" s="590" t="s">
        <v>234</v>
      </c>
      <c r="C53" s="584">
        <f>Inputs!F32</f>
        <v>500000</v>
      </c>
      <c r="D53" s="405"/>
      <c r="E53" s="413" t="s">
        <v>233</v>
      </c>
      <c r="F53" s="595">
        <v>5000</v>
      </c>
      <c r="I53" s="800" t="s">
        <v>170</v>
      </c>
      <c r="J53" s="940">
        <f>Inputs!J31</f>
        <v>0</v>
      </c>
    </row>
    <row r="54" spans="2:10" ht="15.75" thickBot="1">
      <c r="B54" s="583" t="s">
        <v>232</v>
      </c>
      <c r="C54" s="584">
        <f>Inputs!F33</f>
        <v>1000000</v>
      </c>
      <c r="D54" s="405"/>
      <c r="E54" s="417" t="s">
        <v>232</v>
      </c>
      <c r="F54" s="595">
        <f>Inputs!Customer_Debt_Payments</f>
        <v>0</v>
      </c>
      <c r="I54" s="802" t="s">
        <v>234</v>
      </c>
      <c r="J54" s="940">
        <f>Inputs!J32</f>
        <v>0</v>
      </c>
    </row>
    <row r="55" spans="2:10" ht="15.75" thickBot="1">
      <c r="B55" s="591" t="s">
        <v>231</v>
      </c>
      <c r="C55" s="592">
        <f>Inputs!F34</f>
        <v>3000000</v>
      </c>
      <c r="D55" s="405"/>
      <c r="E55" s="417" t="s">
        <v>231</v>
      </c>
      <c r="F55" s="595">
        <f>Inputs!Customer_Cash_from_previous_years</f>
        <v>0</v>
      </c>
      <c r="I55" s="795" t="s">
        <v>232</v>
      </c>
      <c r="J55" s="940">
        <f>Inputs!J33</f>
        <v>0</v>
      </c>
    </row>
    <row r="56" spans="2:10" ht="15.75" thickBot="1">
      <c r="B56" s="405"/>
      <c r="C56" s="405"/>
      <c r="D56" s="405"/>
      <c r="E56" s="425" t="s">
        <v>269</v>
      </c>
      <c r="F56" s="416"/>
      <c r="I56" s="803" t="s">
        <v>231</v>
      </c>
      <c r="J56" s="941">
        <f>Inputs!J34</f>
        <v>0</v>
      </c>
    </row>
    <row r="57" spans="2:6" ht="15">
      <c r="B57" s="405"/>
      <c r="C57" s="405"/>
      <c r="D57" s="405"/>
      <c r="E57" s="598" t="s">
        <v>270</v>
      </c>
      <c r="F57" s="595">
        <f>Inputs!H36</f>
        <v>0</v>
      </c>
    </row>
    <row r="58" spans="2:6" ht="15">
      <c r="B58" s="405"/>
      <c r="C58" s="405"/>
      <c r="D58" s="405"/>
      <c r="E58" s="598" t="s">
        <v>274</v>
      </c>
      <c r="F58" s="595">
        <f>Inputs!H37</f>
        <v>0</v>
      </c>
    </row>
    <row r="59" spans="2:6" ht="15">
      <c r="B59" s="405"/>
      <c r="C59" s="405"/>
      <c r="D59" s="405"/>
      <c r="E59" s="598"/>
      <c r="F59" s="599">
        <f>Inputs!H38</f>
        <v>0</v>
      </c>
    </row>
    <row r="60" spans="2:6" ht="15.75" thickBot="1">
      <c r="B60" s="405"/>
      <c r="C60" s="405"/>
      <c r="D60" s="405"/>
      <c r="E60" s="600" t="s">
        <v>271</v>
      </c>
      <c r="F60" s="601" t="e">
        <f>Customer_Energy_Expenses/F57</f>
        <v>#DIV/0!</v>
      </c>
    </row>
    <row r="61" ht="15.75" thickBot="1"/>
    <row r="62" spans="2:12" ht="17.25" thickBot="1">
      <c r="B62" s="1079" t="s">
        <v>393</v>
      </c>
      <c r="C62" s="1080"/>
      <c r="D62" s="1080"/>
      <c r="E62" s="1080"/>
      <c r="F62" s="1080"/>
      <c r="G62" s="1080"/>
      <c r="H62" s="1080"/>
      <c r="I62" s="1080"/>
      <c r="J62" s="1080"/>
      <c r="K62" s="1081"/>
      <c r="L62" s="995"/>
    </row>
    <row r="63" ht="15.75" thickBot="1"/>
    <row r="64" spans="2:10" ht="15.75" thickBot="1">
      <c r="B64" s="1084" t="s">
        <v>394</v>
      </c>
      <c r="C64" s="1085"/>
      <c r="E64" s="1082" t="s">
        <v>395</v>
      </c>
      <c r="F64" s="1083"/>
      <c r="I64" s="1086" t="s">
        <v>396</v>
      </c>
      <c r="J64" s="1087"/>
    </row>
    <row r="65" spans="2:10" ht="15">
      <c r="B65" s="968" t="s">
        <v>328</v>
      </c>
      <c r="C65" s="969">
        <f>'SPE Output'!D9</f>
        <v>105000</v>
      </c>
      <c r="D65" s="967"/>
      <c r="E65" s="607" t="s">
        <v>182</v>
      </c>
      <c r="F65" s="978">
        <f>'Customer Output'!D14</f>
        <v>210000</v>
      </c>
      <c r="I65" s="994" t="s">
        <v>390</v>
      </c>
      <c r="J65" s="987">
        <f>'ESCO Output'!D9</f>
        <v>17470</v>
      </c>
    </row>
    <row r="66" spans="2:10" ht="15">
      <c r="B66" s="970" t="s">
        <v>329</v>
      </c>
      <c r="C66" s="971">
        <f>'SPE Output'!D10</f>
        <v>3.948997142857143</v>
      </c>
      <c r="E66" s="757" t="s">
        <v>181</v>
      </c>
      <c r="F66" s="978">
        <f>'Customer Output'!D15</f>
        <v>105000</v>
      </c>
      <c r="I66" s="986" t="s">
        <v>391</v>
      </c>
      <c r="J66" s="987">
        <f>'ESCO Output'!D10</f>
        <v>357000</v>
      </c>
    </row>
    <row r="67" spans="2:10" ht="15">
      <c r="B67" s="970" t="s">
        <v>330</v>
      </c>
      <c r="C67" s="971">
        <f>'SPE Output'!D11</f>
        <v>4.371211138326358</v>
      </c>
      <c r="E67" s="757" t="s">
        <v>37</v>
      </c>
      <c r="F67" s="978">
        <f>'Customer Output'!D16</f>
        <v>0</v>
      </c>
      <c r="I67" s="949"/>
      <c r="J67" s="988">
        <f>'ESCO Output'!D11</f>
        <v>0</v>
      </c>
    </row>
    <row r="68" spans="2:10" ht="15">
      <c r="B68" s="970" t="s">
        <v>331</v>
      </c>
      <c r="C68" s="969">
        <f>'SPE Output'!D12</f>
        <v>61304.29800000001</v>
      </c>
      <c r="E68" s="757" t="s">
        <v>273</v>
      </c>
      <c r="F68" s="978">
        <f>'Customer Output'!D17</f>
        <v>0</v>
      </c>
      <c r="I68" s="949" t="s">
        <v>392</v>
      </c>
      <c r="J68" s="988" t="e">
        <f>'ESCO Output'!D12</f>
        <v>#VALUE!</v>
      </c>
    </row>
    <row r="69" spans="2:10" ht="15">
      <c r="B69" s="970" t="s">
        <v>332</v>
      </c>
      <c r="C69" s="993">
        <f>'SPE Output'!D13</f>
        <v>0.04631732989134446</v>
      </c>
      <c r="E69" s="609" t="s">
        <v>221</v>
      </c>
      <c r="F69" s="978">
        <f>'Customer Output'!D18</f>
        <v>1108562.6581992945</v>
      </c>
      <c r="I69" s="949" t="s">
        <v>14</v>
      </c>
      <c r="J69" s="989" t="e">
        <f>'ESCO Output'!D13</f>
        <v>#VALUE!</v>
      </c>
    </row>
    <row r="70" spans="2:10" ht="15">
      <c r="B70" s="970" t="s">
        <v>326</v>
      </c>
      <c r="C70" s="972">
        <f>'SPE Output'!D14</f>
        <v>0</v>
      </c>
      <c r="E70" s="609" t="s">
        <v>39</v>
      </c>
      <c r="F70" s="979">
        <f>'Customer Output'!D19</f>
        <v>5</v>
      </c>
      <c r="I70" s="949" t="s">
        <v>15</v>
      </c>
      <c r="J70" s="990" t="e">
        <f>'ESCO Output'!D14</f>
        <v>#VALUE!</v>
      </c>
    </row>
    <row r="71" spans="2:10" ht="15">
      <c r="B71" s="973" t="s">
        <v>17</v>
      </c>
      <c r="C71" s="969">
        <f>'SPE Output'!D15</f>
        <v>61304.29800000001</v>
      </c>
      <c r="E71" s="609" t="s">
        <v>41</v>
      </c>
      <c r="F71" s="978">
        <f>'Customer Output'!D20</f>
        <v>455917</v>
      </c>
      <c r="I71" s="949" t="s">
        <v>19</v>
      </c>
      <c r="J71" s="991">
        <f>'ESCO Output'!D15</f>
        <v>41447</v>
      </c>
    </row>
    <row r="72" spans="2:10" ht="15.75" thickBot="1">
      <c r="B72" s="974" t="s">
        <v>19</v>
      </c>
      <c r="C72" s="972">
        <f>'SPE Output'!D16</f>
        <v>41447</v>
      </c>
      <c r="E72" s="612" t="s">
        <v>43</v>
      </c>
      <c r="F72" s="614">
        <f>'Customer Output'!D21</f>
        <v>-0.9999994098102403</v>
      </c>
      <c r="I72" s="950" t="s">
        <v>357</v>
      </c>
      <c r="J72" s="992" t="e">
        <f>'ESCO Output'!D16</f>
        <v>#VALUE!</v>
      </c>
    </row>
    <row r="73" spans="2:3" ht="15">
      <c r="B73" s="970"/>
      <c r="C73" s="975"/>
    </row>
    <row r="74" spans="2:3" ht="15">
      <c r="B74" s="973" t="s">
        <v>334</v>
      </c>
      <c r="C74" s="969">
        <f>'SPE Output'!D18</f>
        <v>475948.998</v>
      </c>
    </row>
    <row r="75" spans="2:3" ht="15.75" thickBot="1">
      <c r="B75" s="976" t="s">
        <v>21</v>
      </c>
      <c r="C75" s="977">
        <f>'SPE Output'!D19</f>
        <v>455917.00000000006</v>
      </c>
    </row>
    <row r="76" ht="15.75" thickBot="1"/>
    <row r="77" spans="5:6" ht="15.75" thickBot="1">
      <c r="E77" s="1082" t="s">
        <v>397</v>
      </c>
      <c r="F77" s="1083"/>
    </row>
    <row r="78" spans="5:6" ht="15">
      <c r="E78" s="980" t="s">
        <v>11</v>
      </c>
      <c r="F78" s="981">
        <f>'ESCO Output'!D4</f>
        <v>414644.7</v>
      </c>
    </row>
    <row r="79" spans="5:6" ht="15">
      <c r="E79" s="980" t="s">
        <v>204</v>
      </c>
      <c r="F79" s="982">
        <f>'ESCO Output'!D5</f>
        <v>1.6833333333333333</v>
      </c>
    </row>
    <row r="80" spans="5:6" ht="15">
      <c r="E80" s="980" t="s">
        <v>215</v>
      </c>
      <c r="F80" s="983">
        <f>'ESCO Output'!D6</f>
        <v>0.594059405940594</v>
      </c>
    </row>
    <row r="81" spans="5:6" ht="15">
      <c r="E81" s="980" t="s">
        <v>205</v>
      </c>
      <c r="F81" s="982">
        <f>'ESCO Output'!D7</f>
        <v>2.171865238095238</v>
      </c>
    </row>
    <row r="82" spans="5:6" ht="15.75" thickBot="1">
      <c r="E82" s="984" t="s">
        <v>217</v>
      </c>
      <c r="F82" s="985">
        <f>'ESCO Output'!D8</f>
        <v>0.5072103258808672</v>
      </c>
    </row>
  </sheetData>
  <sheetProtection password="D997" sheet="1" objects="1" scenarios="1"/>
  <mergeCells count="15">
    <mergeCell ref="B3:K3"/>
    <mergeCell ref="B35:K35"/>
    <mergeCell ref="E5:G5"/>
    <mergeCell ref="E10:G10"/>
    <mergeCell ref="B6:C6"/>
    <mergeCell ref="B5:C5"/>
    <mergeCell ref="B24:C24"/>
    <mergeCell ref="E29:G29"/>
    <mergeCell ref="I19:K19"/>
    <mergeCell ref="I5:K5"/>
    <mergeCell ref="B62:K62"/>
    <mergeCell ref="E77:F77"/>
    <mergeCell ref="B64:C64"/>
    <mergeCell ref="E64:F64"/>
    <mergeCell ref="I64:J64"/>
  </mergeCells>
  <printOptions/>
  <pageMargins left="0.5" right="0.43" top="0.5" bottom="0.58" header="0.32" footer="0.36"/>
  <pageSetup blackAndWhite="1" fitToWidth="2" horizontalDpi="300" verticalDpi="300" orientation="landscape" scale="39" r:id="rId3"/>
  <rowBreaks count="1" manualBreakCount="1">
    <brk id="34" min="1" max="10" man="1"/>
  </rowBreaks>
  <legacyDrawing r:id="rId2"/>
</worksheet>
</file>

<file path=xl/worksheets/sheet4.xml><?xml version="1.0" encoding="utf-8"?>
<worksheet xmlns="http://schemas.openxmlformats.org/spreadsheetml/2006/main" xmlns:r="http://schemas.openxmlformats.org/officeDocument/2006/relationships">
  <sheetPr codeName="Sheet4"/>
  <dimension ref="B2:BH128"/>
  <sheetViews>
    <sheetView view="pageBreakPreview" zoomScale="65" zoomScaleNormal="85" zoomScaleSheetLayoutView="65" workbookViewId="0" topLeftCell="C1">
      <selection activeCell="N51" sqref="N51"/>
    </sheetView>
  </sheetViews>
  <sheetFormatPr defaultColWidth="9.140625" defaultRowHeight="15"/>
  <cols>
    <col min="1" max="1" width="3.00390625" style="0" customWidth="1"/>
    <col min="3" max="3" width="41.7109375" style="0" customWidth="1"/>
    <col min="4" max="4" width="15.57421875" style="0" customWidth="1"/>
    <col min="5" max="5" width="15.28125" style="0" customWidth="1"/>
    <col min="6" max="6" width="15.28125" style="0" bestFit="1" customWidth="1"/>
    <col min="7" max="7" width="13.8515625" style="0" customWidth="1"/>
    <col min="8" max="8" width="13.7109375" style="0" customWidth="1"/>
    <col min="9" max="15" width="14.140625" style="0" bestFit="1" customWidth="1"/>
    <col min="16" max="16" width="13.57421875" style="0" bestFit="1" customWidth="1"/>
    <col min="17" max="17" width="9.7109375" style="0" bestFit="1" customWidth="1"/>
    <col min="21" max="21" width="10.421875" style="0" bestFit="1" customWidth="1"/>
  </cols>
  <sheetData>
    <row r="1" ht="15.75" thickBot="1"/>
    <row r="2" spans="3:21" ht="16.5" thickBot="1">
      <c r="C2" s="1103" t="s">
        <v>356</v>
      </c>
      <c r="D2" s="1104"/>
      <c r="E2" s="1105"/>
      <c r="F2" s="289"/>
      <c r="U2" s="283"/>
    </row>
    <row r="3" spans="3:11" ht="15.75" thickTop="1">
      <c r="C3" s="760"/>
      <c r="D3" s="761"/>
      <c r="E3" s="762"/>
      <c r="F3" s="290"/>
      <c r="G3" s="1073" t="s">
        <v>403</v>
      </c>
      <c r="H3" s="1074"/>
      <c r="I3" s="1074"/>
      <c r="J3" s="1074"/>
      <c r="K3" s="1075"/>
    </row>
    <row r="4" spans="3:11" ht="15" customHeight="1">
      <c r="C4" s="763" t="s">
        <v>11</v>
      </c>
      <c r="D4" s="764">
        <f>FCost</f>
        <v>414644.7</v>
      </c>
      <c r="E4" s="765"/>
      <c r="G4" s="1034"/>
      <c r="H4" s="1035" t="s">
        <v>313</v>
      </c>
      <c r="I4" s="2"/>
      <c r="J4" s="2"/>
      <c r="K4" s="1036"/>
    </row>
    <row r="5" spans="3:11" ht="15">
      <c r="C5" s="763" t="s">
        <v>204</v>
      </c>
      <c r="D5" s="766">
        <f>Measures!J14</f>
        <v>1.6833333333333333</v>
      </c>
      <c r="E5" s="767" t="s">
        <v>1</v>
      </c>
      <c r="G5" s="1037"/>
      <c r="H5" s="1035" t="s">
        <v>401</v>
      </c>
      <c r="I5" s="2"/>
      <c r="J5" s="2"/>
      <c r="K5" s="1036"/>
    </row>
    <row r="6" spans="3:11" ht="15">
      <c r="C6" s="763" t="s">
        <v>215</v>
      </c>
      <c r="D6" s="770">
        <f>Measures!K14</f>
        <v>0.594059405940594</v>
      </c>
      <c r="E6" s="767"/>
      <c r="G6" s="1038"/>
      <c r="H6" s="1035" t="s">
        <v>312</v>
      </c>
      <c r="I6" s="2"/>
      <c r="J6" s="2"/>
      <c r="K6" s="1036"/>
    </row>
    <row r="7" spans="3:11" ht="15.75" thickBot="1">
      <c r="C7" s="763" t="s">
        <v>205</v>
      </c>
      <c r="D7" s="766">
        <f>Measures!J18</f>
        <v>2.171865238095238</v>
      </c>
      <c r="E7" s="767" t="s">
        <v>1</v>
      </c>
      <c r="G7" s="1039"/>
      <c r="H7" s="1040" t="s">
        <v>311</v>
      </c>
      <c r="I7" s="1041"/>
      <c r="J7" s="1041"/>
      <c r="K7" s="1042"/>
    </row>
    <row r="8" spans="3:5" ht="16.5" thickBot="1" thickTop="1">
      <c r="C8" s="768" t="s">
        <v>217</v>
      </c>
      <c r="D8" s="771">
        <f>Measures!J19</f>
        <v>0.5072103258808672</v>
      </c>
      <c r="E8" s="769"/>
    </row>
    <row r="9" spans="3:5" ht="15">
      <c r="C9" s="268" t="s">
        <v>328</v>
      </c>
      <c r="D9" s="266">
        <f>'Costs &amp; Savings'!N23</f>
        <v>105000</v>
      </c>
      <c r="E9" s="267"/>
    </row>
    <row r="10" spans="3:5" ht="15">
      <c r="C10" s="57" t="s">
        <v>329</v>
      </c>
      <c r="D10" s="84">
        <f>D4/D9</f>
        <v>3.948997142857143</v>
      </c>
      <c r="E10" s="59" t="s">
        <v>1</v>
      </c>
    </row>
    <row r="11" spans="3:5" ht="15">
      <c r="C11" s="57" t="s">
        <v>330</v>
      </c>
      <c r="D11" s="84">
        <f>U85</f>
        <v>4.371211138326358</v>
      </c>
      <c r="E11" s="59" t="s">
        <v>1</v>
      </c>
    </row>
    <row r="12" spans="3:21" ht="15">
      <c r="C12" s="57" t="s">
        <v>331</v>
      </c>
      <c r="D12" s="119">
        <f>'SPE Output'!P73</f>
        <v>61304.29800000001</v>
      </c>
      <c r="E12" s="59"/>
      <c r="G12" s="273"/>
      <c r="H12" s="1108"/>
      <c r="I12" s="1108"/>
      <c r="J12" s="100"/>
      <c r="K12" s="274"/>
      <c r="L12" s="274"/>
      <c r="M12" s="274"/>
      <c r="N12" s="274"/>
      <c r="O12" s="274"/>
      <c r="P12" s="274"/>
      <c r="Q12" s="274"/>
      <c r="R12" s="274"/>
      <c r="S12" s="274"/>
      <c r="T12" s="274"/>
      <c r="U12" s="274"/>
    </row>
    <row r="13" spans="3:5" ht="15">
      <c r="C13" s="57" t="s">
        <v>332</v>
      </c>
      <c r="D13" s="85">
        <f>'SPE Output'!F77</f>
        <v>0.04631732989134446</v>
      </c>
      <c r="E13" s="59"/>
    </row>
    <row r="14" spans="3:5" ht="15">
      <c r="C14" s="57" t="s">
        <v>326</v>
      </c>
      <c r="D14" s="119">
        <f>SUM(P46)</f>
        <v>0</v>
      </c>
      <c r="E14" s="59"/>
    </row>
    <row r="15" spans="3:5" ht="15">
      <c r="C15" s="269" t="s">
        <v>17</v>
      </c>
      <c r="D15" s="134">
        <f>'SPE Output'!F78</f>
        <v>61304.29800000001</v>
      </c>
      <c r="E15" s="59"/>
    </row>
    <row r="16" spans="3:5" ht="15">
      <c r="C16" s="270" t="s">
        <v>19</v>
      </c>
      <c r="D16" s="135">
        <f>'Customer Output'!D8</f>
        <v>41447</v>
      </c>
      <c r="E16" s="59"/>
    </row>
    <row r="17" spans="3:5" ht="15">
      <c r="C17" s="57"/>
      <c r="D17" s="65"/>
      <c r="E17" s="59"/>
    </row>
    <row r="18" spans="3:5" ht="15">
      <c r="C18" s="269" t="s">
        <v>334</v>
      </c>
      <c r="D18" s="136">
        <f>D4+D15</f>
        <v>475948.998</v>
      </c>
      <c r="E18" s="59"/>
    </row>
    <row r="19" spans="3:5" ht="15.75" thickBot="1">
      <c r="C19" s="60" t="s">
        <v>21</v>
      </c>
      <c r="D19" s="271">
        <f>'Costs &amp; Savings'!M46</f>
        <v>455917.00000000006</v>
      </c>
      <c r="E19" s="61"/>
    </row>
    <row r="20" ht="15.75" thickBot="1"/>
    <row r="21" spans="2:15" ht="15.75">
      <c r="B21" s="1111" t="s">
        <v>340</v>
      </c>
      <c r="C21" s="1112"/>
      <c r="D21" s="1112"/>
      <c r="E21" s="1112"/>
      <c r="F21" s="1112"/>
      <c r="G21" s="1112"/>
      <c r="H21" s="1112"/>
      <c r="I21" s="1112"/>
      <c r="J21" s="1112"/>
      <c r="K21" s="1112"/>
      <c r="L21" s="1112"/>
      <c r="M21" s="1112"/>
      <c r="N21" s="1112"/>
      <c r="O21" s="1113"/>
    </row>
    <row r="22" spans="2:15" ht="15">
      <c r="B22" s="285"/>
      <c r="C22" s="153"/>
      <c r="D22" s="157" t="s">
        <v>248</v>
      </c>
      <c r="E22" s="157" t="s">
        <v>95</v>
      </c>
      <c r="F22" s="157" t="s">
        <v>254</v>
      </c>
      <c r="G22" s="157" t="s">
        <v>255</v>
      </c>
      <c r="H22" s="157" t="s">
        <v>256</v>
      </c>
      <c r="I22" s="157" t="s">
        <v>257</v>
      </c>
      <c r="J22" s="157" t="s">
        <v>258</v>
      </c>
      <c r="K22" s="157" t="s">
        <v>259</v>
      </c>
      <c r="L22" s="157" t="s">
        <v>260</v>
      </c>
      <c r="M22" s="157" t="s">
        <v>261</v>
      </c>
      <c r="N22" s="157" t="s">
        <v>262</v>
      </c>
      <c r="O22" s="286" t="s">
        <v>263</v>
      </c>
    </row>
    <row r="23" spans="2:15" ht="15">
      <c r="B23" s="1109" t="s">
        <v>333</v>
      </c>
      <c r="C23" s="284" t="s">
        <v>253</v>
      </c>
      <c r="D23" s="280">
        <f aca="true" t="shared" si="0" ref="D23:O23">(D98+D99)/D102</f>
        <v>6.995</v>
      </c>
      <c r="E23" s="158">
        <f t="shared" si="0"/>
        <v>10.53267765</v>
      </c>
      <c r="F23" s="158">
        <f t="shared" si="0"/>
        <v>14.3293954698</v>
      </c>
      <c r="G23" s="158">
        <f t="shared" si="0"/>
        <v>18.123143389600003</v>
      </c>
      <c r="H23" s="158">
        <f t="shared" si="0"/>
        <v>21.9168913094</v>
      </c>
      <c r="I23" s="158">
        <f t="shared" si="0"/>
        <v>25.710639229199998</v>
      </c>
      <c r="J23" s="158">
        <f t="shared" si="0"/>
        <v>29.504387148999996</v>
      </c>
      <c r="K23" s="158">
        <f t="shared" si="0"/>
        <v>33.24938714899999</v>
      </c>
      <c r="L23" s="158">
        <f t="shared" si="0"/>
        <v>36.994387149</v>
      </c>
      <c r="M23" s="158">
        <f t="shared" si="0"/>
        <v>40.739387148999995</v>
      </c>
      <c r="N23" s="158">
        <f t="shared" si="0"/>
        <v>44.484387149</v>
      </c>
      <c r="O23" s="159">
        <f t="shared" si="0"/>
        <v>48.229387149</v>
      </c>
    </row>
    <row r="24" spans="2:15" ht="15">
      <c r="B24" s="1109"/>
      <c r="C24" s="281" t="s">
        <v>265</v>
      </c>
      <c r="D24" s="276">
        <f aca="true" t="shared" si="1" ref="D24:O24">D100/D96</f>
        <v>0.29178824510212586</v>
      </c>
      <c r="E24" s="160">
        <f t="shared" si="1"/>
        <v>0.22236340533672172</v>
      </c>
      <c r="F24" s="160">
        <f t="shared" si="1"/>
        <v>0.17953088052769042</v>
      </c>
      <c r="G24" s="160">
        <f t="shared" si="1"/>
        <v>0.15055358467311777</v>
      </c>
      <c r="H24" s="160">
        <f t="shared" si="1"/>
        <v>0.1296304926355122</v>
      </c>
      <c r="I24" s="160">
        <f t="shared" si="1"/>
        <v>0.11381335190057423</v>
      </c>
      <c r="J24" s="160">
        <f t="shared" si="1"/>
        <v>0.10143637633342045</v>
      </c>
      <c r="K24" s="160">
        <f t="shared" si="1"/>
        <v>0.0915047340854324</v>
      </c>
      <c r="L24" s="160">
        <f t="shared" si="1"/>
        <v>0.083344471430948</v>
      </c>
      <c r="M24" s="160">
        <f t="shared" si="1"/>
        <v>0.07652048307071646</v>
      </c>
      <c r="N24" s="160">
        <f t="shared" si="1"/>
        <v>0.07072937954068871</v>
      </c>
      <c r="O24" s="161">
        <f t="shared" si="1"/>
        <v>0.06575315229917603</v>
      </c>
    </row>
    <row r="25" spans="2:15" ht="15">
      <c r="B25" s="1109"/>
      <c r="C25" s="281" t="s">
        <v>157</v>
      </c>
      <c r="D25" s="276">
        <f aca="true" t="shared" si="2" ref="D25:O25">D100/D103</f>
        <v>0.4120070629782225</v>
      </c>
      <c r="E25" s="160">
        <f t="shared" si="2"/>
        <v>0.28594771241830064</v>
      </c>
      <c r="F25" s="160">
        <f t="shared" si="2"/>
        <v>0.21881491486621332</v>
      </c>
      <c r="G25" s="160">
        <f t="shared" si="2"/>
        <v>0.1772372947329256</v>
      </c>
      <c r="H25" s="160">
        <f t="shared" si="2"/>
        <v>0.14893730942854178</v>
      </c>
      <c r="I25" s="160">
        <f t="shared" si="2"/>
        <v>0.1284304521453419</v>
      </c>
      <c r="J25" s="160">
        <f t="shared" si="2"/>
        <v>0.11288724989724197</v>
      </c>
      <c r="K25" s="160">
        <f t="shared" si="2"/>
        <v>0.10072120077952862</v>
      </c>
      <c r="L25" s="160">
        <f t="shared" si="2"/>
        <v>0.09092234632681827</v>
      </c>
      <c r="M25" s="160">
        <f t="shared" si="2"/>
        <v>0.08286105069786415</v>
      </c>
      <c r="N25" s="160">
        <f t="shared" si="2"/>
        <v>0.07611278994888405</v>
      </c>
      <c r="O25" s="161">
        <f t="shared" si="2"/>
        <v>0.07038091962632162</v>
      </c>
    </row>
    <row r="26" spans="2:15" ht="15">
      <c r="B26" s="1109"/>
      <c r="C26" s="281" t="s">
        <v>153</v>
      </c>
      <c r="D26" s="277">
        <f aca="true" t="shared" si="3" ref="D26:O26">(D107+D90)/(D90-D114)</f>
        <v>-13.98</v>
      </c>
      <c r="E26" s="162">
        <f t="shared" si="3"/>
        <v>-13.98</v>
      </c>
      <c r="F26" s="162">
        <f t="shared" si="3"/>
        <v>-14.186871279199998</v>
      </c>
      <c r="G26" s="162">
        <f t="shared" si="3"/>
        <v>-14.174991679200001</v>
      </c>
      <c r="H26" s="162">
        <f t="shared" si="3"/>
        <v>-14.174991679200001</v>
      </c>
      <c r="I26" s="162">
        <f t="shared" si="3"/>
        <v>-14.174991679200001</v>
      </c>
      <c r="J26" s="162">
        <f t="shared" si="3"/>
        <v>-14.174991679200001</v>
      </c>
      <c r="K26" s="162">
        <f t="shared" si="3"/>
        <v>-13.98</v>
      </c>
      <c r="L26" s="162">
        <f t="shared" si="3"/>
        <v>-13.98</v>
      </c>
      <c r="M26" s="162">
        <f t="shared" si="3"/>
        <v>-13.98</v>
      </c>
      <c r="N26" s="162">
        <f t="shared" si="3"/>
        <v>-13.98</v>
      </c>
      <c r="O26" s="163">
        <f t="shared" si="3"/>
        <v>-13.98</v>
      </c>
    </row>
    <row r="27" spans="2:15" ht="15">
      <c r="B27" s="1109"/>
      <c r="C27" s="281" t="s">
        <v>176</v>
      </c>
      <c r="D27" s="278">
        <f aca="true" t="shared" si="4" ref="D27:O27">D89/D85</f>
        <v>0.4</v>
      </c>
      <c r="E27" s="164">
        <f t="shared" si="4"/>
        <v>0.4</v>
      </c>
      <c r="F27" s="164">
        <f t="shared" si="4"/>
        <v>0.3960961919686582</v>
      </c>
      <c r="G27" s="164">
        <f t="shared" si="4"/>
        <v>0.3960961919686582</v>
      </c>
      <c r="H27" s="164">
        <f t="shared" si="4"/>
        <v>0.3960961919686582</v>
      </c>
      <c r="I27" s="164">
        <f t="shared" si="4"/>
        <v>0.3960961919686582</v>
      </c>
      <c r="J27" s="164">
        <f t="shared" si="4"/>
        <v>0.3960961919686582</v>
      </c>
      <c r="K27" s="164">
        <f t="shared" si="4"/>
        <v>0.4</v>
      </c>
      <c r="L27" s="164">
        <f t="shared" si="4"/>
        <v>0.4</v>
      </c>
      <c r="M27" s="164">
        <f t="shared" si="4"/>
        <v>0.4</v>
      </c>
      <c r="N27" s="164">
        <f t="shared" si="4"/>
        <v>0.4</v>
      </c>
      <c r="O27" s="165">
        <f t="shared" si="4"/>
        <v>0.4</v>
      </c>
    </row>
    <row r="28" spans="2:15" ht="18" customHeight="1">
      <c r="B28" s="1109"/>
      <c r="C28" s="281" t="s">
        <v>162</v>
      </c>
      <c r="D28" s="295">
        <f aca="true" t="shared" si="5" ref="D28:O28">D93/D85</f>
        <v>0.198</v>
      </c>
      <c r="E28" s="166">
        <f t="shared" si="5"/>
        <v>0.198</v>
      </c>
      <c r="F28" s="166">
        <f t="shared" si="5"/>
        <v>0.19794450530852103</v>
      </c>
      <c r="G28" s="166">
        <f t="shared" si="5"/>
        <v>0.19678097935357491</v>
      </c>
      <c r="H28" s="166">
        <f t="shared" si="5"/>
        <v>0.19678097935357491</v>
      </c>
      <c r="I28" s="166">
        <f t="shared" si="5"/>
        <v>0.19678097935357491</v>
      </c>
      <c r="J28" s="166">
        <f t="shared" si="5"/>
        <v>0.19678097935357491</v>
      </c>
      <c r="K28" s="166">
        <f t="shared" si="5"/>
        <v>0.198</v>
      </c>
      <c r="L28" s="166">
        <f t="shared" si="5"/>
        <v>0.198</v>
      </c>
      <c r="M28" s="166">
        <f t="shared" si="5"/>
        <v>0.198</v>
      </c>
      <c r="N28" s="166">
        <f t="shared" si="5"/>
        <v>0.198</v>
      </c>
      <c r="O28" s="167">
        <f t="shared" si="5"/>
        <v>0.198</v>
      </c>
    </row>
    <row r="29" spans="2:15" ht="17.25" customHeight="1" thickBot="1">
      <c r="B29" s="1110"/>
      <c r="C29" s="282" t="s">
        <v>266</v>
      </c>
      <c r="D29" s="279">
        <f aca="true" t="shared" si="6" ref="D29:O29">D101</f>
        <v>5000000</v>
      </c>
      <c r="E29" s="168">
        <f t="shared" si="6"/>
        <v>5000000</v>
      </c>
      <c r="F29" s="168">
        <f t="shared" si="6"/>
        <v>5000000</v>
      </c>
      <c r="G29" s="168">
        <f t="shared" si="6"/>
        <v>5000000</v>
      </c>
      <c r="H29" s="168">
        <f t="shared" si="6"/>
        <v>5000000</v>
      </c>
      <c r="I29" s="168">
        <f t="shared" si="6"/>
        <v>5000000</v>
      </c>
      <c r="J29" s="168">
        <f t="shared" si="6"/>
        <v>5000000</v>
      </c>
      <c r="K29" s="168">
        <f t="shared" si="6"/>
        <v>5000000</v>
      </c>
      <c r="L29" s="168">
        <f t="shared" si="6"/>
        <v>5000000</v>
      </c>
      <c r="M29" s="168">
        <f t="shared" si="6"/>
        <v>5000000</v>
      </c>
      <c r="N29" s="168">
        <f t="shared" si="6"/>
        <v>5000000</v>
      </c>
      <c r="O29" s="169">
        <f t="shared" si="6"/>
        <v>5000000</v>
      </c>
    </row>
    <row r="31" ht="15.75" thickBot="1"/>
    <row r="32" spans="3:16" ht="15">
      <c r="C32" s="188" t="s">
        <v>335</v>
      </c>
      <c r="D32" s="201"/>
      <c r="E32" s="202" t="s">
        <v>95</v>
      </c>
      <c r="F32" s="202" t="s">
        <v>96</v>
      </c>
      <c r="G32" s="203"/>
      <c r="H32" s="201"/>
      <c r="I32" s="204"/>
      <c r="J32" s="201"/>
      <c r="K32" s="201"/>
      <c r="L32" s="201"/>
      <c r="M32" s="201"/>
      <c r="N32" s="201"/>
      <c r="O32" s="201"/>
      <c r="P32" s="272"/>
    </row>
    <row r="33" spans="3:16" ht="15">
      <c r="C33" s="205" t="s">
        <v>60</v>
      </c>
      <c r="D33" s="206"/>
      <c r="E33" s="207">
        <v>0</v>
      </c>
      <c r="F33" s="207">
        <f aca="true" t="shared" si="7" ref="F33:O33">E33+1</f>
        <v>1</v>
      </c>
      <c r="G33" s="207">
        <f t="shared" si="7"/>
        <v>2</v>
      </c>
      <c r="H33" s="207">
        <f t="shared" si="7"/>
        <v>3</v>
      </c>
      <c r="I33" s="207">
        <f t="shared" si="7"/>
        <v>4</v>
      </c>
      <c r="J33" s="207">
        <f t="shared" si="7"/>
        <v>5</v>
      </c>
      <c r="K33" s="207">
        <f t="shared" si="7"/>
        <v>6</v>
      </c>
      <c r="L33" s="207">
        <f t="shared" si="7"/>
        <v>7</v>
      </c>
      <c r="M33" s="207">
        <f t="shared" si="7"/>
        <v>8</v>
      </c>
      <c r="N33" s="207">
        <f t="shared" si="7"/>
        <v>9</v>
      </c>
      <c r="O33" s="207">
        <f t="shared" si="7"/>
        <v>10</v>
      </c>
      <c r="P33" s="208" t="s">
        <v>61</v>
      </c>
    </row>
    <row r="34" spans="3:16" ht="15.75">
      <c r="C34" s="209" t="s">
        <v>336</v>
      </c>
      <c r="D34" s="210"/>
      <c r="E34" s="207"/>
      <c r="F34" s="207"/>
      <c r="G34" s="211"/>
      <c r="H34" s="211"/>
      <c r="I34" s="211"/>
      <c r="J34" s="211"/>
      <c r="K34" s="211"/>
      <c r="L34" s="211"/>
      <c r="M34" s="211"/>
      <c r="N34" s="211"/>
      <c r="O34" s="211"/>
      <c r="P34" s="212"/>
    </row>
    <row r="35" spans="3:16" ht="15">
      <c r="C35" s="213" t="s">
        <v>102</v>
      </c>
      <c r="D35" s="214"/>
      <c r="E35" s="215"/>
      <c r="F35" s="207"/>
      <c r="G35" s="207"/>
      <c r="H35" s="207"/>
      <c r="I35" s="207"/>
      <c r="J35" s="207"/>
      <c r="K35" s="207"/>
      <c r="L35" s="207"/>
      <c r="M35" s="207"/>
      <c r="N35" s="207"/>
      <c r="O35" s="207"/>
      <c r="P35" s="212"/>
    </row>
    <row r="36" spans="3:22" ht="15">
      <c r="C36" s="216" t="s">
        <v>399</v>
      </c>
      <c r="D36" s="207"/>
      <c r="E36" s="175">
        <f>'Costs &amp; Savings'!M23</f>
        <v>0</v>
      </c>
      <c r="F36" s="175">
        <f>'Costs &amp; Savings'!N23</f>
        <v>105000</v>
      </c>
      <c r="G36" s="175">
        <f>'Costs &amp; Savings'!O23</f>
        <v>105000</v>
      </c>
      <c r="H36" s="175">
        <f>'Costs &amp; Savings'!P23</f>
        <v>105000</v>
      </c>
      <c r="I36" s="175">
        <f>'Costs &amp; Savings'!Q23</f>
        <v>105000</v>
      </c>
      <c r="J36" s="175">
        <f>'Costs &amp; Savings'!R23</f>
        <v>105000</v>
      </c>
      <c r="K36" s="175">
        <f>'Costs &amp; Savings'!S23</f>
        <v>0</v>
      </c>
      <c r="L36" s="175">
        <f>'Costs &amp; Savings'!T23</f>
        <v>0</v>
      </c>
      <c r="M36" s="175">
        <f>'Costs &amp; Savings'!U23</f>
        <v>0</v>
      </c>
      <c r="N36" s="175">
        <f>'Costs &amp; Savings'!V23</f>
        <v>0</v>
      </c>
      <c r="O36" s="175">
        <f>'Costs &amp; Savings'!W23</f>
        <v>0</v>
      </c>
      <c r="P36" s="217">
        <f>SUM(E36:O36)</f>
        <v>525000</v>
      </c>
      <c r="Q36" s="1"/>
      <c r="R36" s="1"/>
      <c r="S36" s="1"/>
      <c r="T36" s="1"/>
      <c r="U36" s="118"/>
      <c r="V36" s="118"/>
    </row>
    <row r="37" spans="3:22" ht="15">
      <c r="C37" s="216" t="s">
        <v>38</v>
      </c>
      <c r="D37" s="207"/>
      <c r="E37" s="176">
        <v>0</v>
      </c>
      <c r="F37" s="176">
        <v>0</v>
      </c>
      <c r="G37" s="176">
        <v>0</v>
      </c>
      <c r="H37" s="176">
        <v>0</v>
      </c>
      <c r="I37" s="176">
        <v>0</v>
      </c>
      <c r="J37" s="176">
        <v>0</v>
      </c>
      <c r="K37" s="176">
        <v>0</v>
      </c>
      <c r="L37" s="176">
        <v>0</v>
      </c>
      <c r="M37" s="176">
        <v>0</v>
      </c>
      <c r="N37" s="176">
        <v>0</v>
      </c>
      <c r="O37" s="176">
        <v>0</v>
      </c>
      <c r="P37" s="218">
        <f>SUM(E37:O37)</f>
        <v>0</v>
      </c>
      <c r="Q37" s="1"/>
      <c r="R37" s="1"/>
      <c r="S37" s="1"/>
      <c r="T37" s="1"/>
      <c r="U37" s="118"/>
      <c r="V37" s="118"/>
    </row>
    <row r="38" spans="3:22" ht="15">
      <c r="C38" s="58" t="s">
        <v>103</v>
      </c>
      <c r="D38" s="219"/>
      <c r="E38" s="133">
        <f aca="true" t="shared" si="8" ref="E38:O38">SUM(E36:E37)</f>
        <v>0</v>
      </c>
      <c r="F38" s="133">
        <f t="shared" si="8"/>
        <v>105000</v>
      </c>
      <c r="G38" s="133">
        <f t="shared" si="8"/>
        <v>105000</v>
      </c>
      <c r="H38" s="133">
        <f t="shared" si="8"/>
        <v>105000</v>
      </c>
      <c r="I38" s="133">
        <f t="shared" si="8"/>
        <v>105000</v>
      </c>
      <c r="J38" s="133">
        <f t="shared" si="8"/>
        <v>105000</v>
      </c>
      <c r="K38" s="133">
        <f t="shared" si="8"/>
        <v>0</v>
      </c>
      <c r="L38" s="133">
        <f t="shared" si="8"/>
        <v>0</v>
      </c>
      <c r="M38" s="133">
        <f t="shared" si="8"/>
        <v>0</v>
      </c>
      <c r="N38" s="133">
        <f t="shared" si="8"/>
        <v>0</v>
      </c>
      <c r="O38" s="133">
        <f t="shared" si="8"/>
        <v>0</v>
      </c>
      <c r="P38" s="217">
        <f>SUM(E38:O38)</f>
        <v>525000</v>
      </c>
      <c r="Q38" s="1"/>
      <c r="R38" s="1"/>
      <c r="S38" s="1"/>
      <c r="T38" s="1"/>
      <c r="U38" s="118"/>
      <c r="V38" s="118"/>
    </row>
    <row r="39" spans="3:22" ht="15">
      <c r="C39" s="213" t="s">
        <v>104</v>
      </c>
      <c r="D39" s="214"/>
      <c r="E39" s="220"/>
      <c r="F39" s="133"/>
      <c r="G39" s="133"/>
      <c r="H39" s="133"/>
      <c r="I39" s="133"/>
      <c r="J39" s="133"/>
      <c r="K39" s="133"/>
      <c r="L39" s="133"/>
      <c r="M39" s="133"/>
      <c r="N39" s="133"/>
      <c r="O39" s="133"/>
      <c r="P39" s="217"/>
      <c r="Q39" s="1"/>
      <c r="R39" s="1"/>
      <c r="S39" s="1"/>
      <c r="T39" s="1"/>
      <c r="U39" s="118"/>
      <c r="V39" s="118"/>
    </row>
    <row r="40" spans="3:22" ht="15">
      <c r="C40" s="62" t="s">
        <v>384</v>
      </c>
      <c r="D40" s="207"/>
      <c r="E40" s="133">
        <f>' Summary'!F22*(1+Inputs!J41)</f>
        <v>17470</v>
      </c>
      <c r="F40" s="133"/>
      <c r="G40" s="133"/>
      <c r="H40" s="133"/>
      <c r="I40" s="133"/>
      <c r="J40" s="133"/>
      <c r="K40" s="133"/>
      <c r="L40" s="133"/>
      <c r="M40" s="133"/>
      <c r="N40" s="133"/>
      <c r="O40" s="133"/>
      <c r="P40" s="217">
        <f aca="true" t="shared" si="9" ref="P40:P47">SUM(E40:O40)</f>
        <v>17470</v>
      </c>
      <c r="Q40" s="1"/>
      <c r="R40" s="1"/>
      <c r="S40" s="1"/>
      <c r="T40" s="1"/>
      <c r="U40" s="118"/>
      <c r="V40" s="118"/>
    </row>
    <row r="41" spans="3:22" ht="15">
      <c r="C41" s="62" t="s">
        <v>383</v>
      </c>
      <c r="D41" s="207"/>
      <c r="E41" s="133"/>
      <c r="F41" s="133"/>
      <c r="G41" s="133"/>
      <c r="H41" s="133"/>
      <c r="I41" s="133"/>
      <c r="J41" s="133"/>
      <c r="K41" s="133"/>
      <c r="L41" s="133"/>
      <c r="M41" s="133"/>
      <c r="N41" s="133"/>
      <c r="O41" s="133"/>
      <c r="P41" s="217"/>
      <c r="Q41" s="1"/>
      <c r="R41" s="1"/>
      <c r="S41" s="1"/>
      <c r="T41" s="1"/>
      <c r="U41" s="118"/>
      <c r="V41" s="118"/>
    </row>
    <row r="42" spans="3:22" ht="15">
      <c r="C42" s="216" t="s">
        <v>26</v>
      </c>
      <c r="D42" s="207"/>
      <c r="E42" s="133"/>
      <c r="F42" s="133">
        <f>IF(Term&gt;F34,' Summary'!J28)</f>
        <v>0</v>
      </c>
      <c r="G42" s="133">
        <f aca="true" t="shared" si="10" ref="G42:O42">IF(Term&gt;=G33,F42*(1+Inflation),0)</f>
        <v>0</v>
      </c>
      <c r="H42" s="133">
        <f t="shared" si="10"/>
        <v>0</v>
      </c>
      <c r="I42" s="133">
        <f t="shared" si="10"/>
        <v>0</v>
      </c>
      <c r="J42" s="133">
        <f t="shared" si="10"/>
        <v>0</v>
      </c>
      <c r="K42" s="133">
        <f t="shared" si="10"/>
        <v>0</v>
      </c>
      <c r="L42" s="133">
        <f t="shared" si="10"/>
        <v>0</v>
      </c>
      <c r="M42" s="133">
        <f t="shared" si="10"/>
        <v>0</v>
      </c>
      <c r="N42" s="133">
        <f t="shared" si="10"/>
        <v>0</v>
      </c>
      <c r="O42" s="133">
        <f t="shared" si="10"/>
        <v>0</v>
      </c>
      <c r="P42" s="217">
        <f t="shared" si="9"/>
        <v>0</v>
      </c>
      <c r="Q42" s="1"/>
      <c r="R42" s="1"/>
      <c r="S42" s="1"/>
      <c r="T42" s="1"/>
      <c r="U42" s="118"/>
      <c r="V42" s="118"/>
    </row>
    <row r="43" spans="3:22" ht="15">
      <c r="C43" s="216" t="s">
        <v>375</v>
      </c>
      <c r="D43" s="207"/>
      <c r="E43" s="177"/>
      <c r="F43" s="133">
        <f>IF(' Summary'!$J32&lt;F34,0,' Summary'!J30)</f>
        <v>0</v>
      </c>
      <c r="G43" s="133">
        <f>IF(' Summary'!$J32&lt;G33,0,F43*(1+Inflation))</f>
        <v>0</v>
      </c>
      <c r="H43" s="133">
        <f>IF(' Summary'!$J32&lt;H33,0,G43*(1+Inflation))</f>
        <v>0</v>
      </c>
      <c r="I43" s="133">
        <f>IF(' Summary'!$J32&lt;I33,0,H43*(1+Inflation))</f>
        <v>0</v>
      </c>
      <c r="J43" s="133">
        <f>IF(' Summary'!$J32&lt;J33,0,I43*(1+Inflation))</f>
        <v>0</v>
      </c>
      <c r="K43" s="133">
        <f>IF(' Summary'!$J32&lt;K33,0,J43*(1+Inflation))</f>
        <v>0</v>
      </c>
      <c r="L43" s="133">
        <f>IF(' Summary'!$J32&lt;L33,0,K43*(1+Inflation))</f>
        <v>0</v>
      </c>
      <c r="M43" s="133">
        <f>IF(' Summary'!$J32&lt;M33,0,L43*(1+Inflation))</f>
        <v>0</v>
      </c>
      <c r="N43" s="133">
        <f>IF(' Summary'!$J32&lt;N33,0,M43*(1+Inflation))</f>
        <v>0</v>
      </c>
      <c r="O43" s="133">
        <f>IF(' Summary'!$J32&lt;O33,0,N43*(1+Inflation))</f>
        <v>0</v>
      </c>
      <c r="P43" s="217">
        <f t="shared" si="9"/>
        <v>0</v>
      </c>
      <c r="Q43" s="1"/>
      <c r="R43" s="1"/>
      <c r="S43" s="1"/>
      <c r="T43" s="1"/>
      <c r="U43" s="118"/>
      <c r="V43" s="118"/>
    </row>
    <row r="44" spans="3:22" ht="15">
      <c r="C44" s="216" t="s">
        <v>105</v>
      </c>
      <c r="D44" s="207"/>
      <c r="E44" s="133">
        <f>-Debt!B21-Debt!B27-Debt!B40</f>
        <v>0</v>
      </c>
      <c r="F44" s="133">
        <f>-Debt!C21-Debt!C27-Debt!C40</f>
        <v>0</v>
      </c>
      <c r="G44" s="133">
        <f>-Debt!D21-Debt!D27-Debt!D40</f>
        <v>0</v>
      </c>
      <c r="H44" s="133">
        <f>-Debt!E21-Debt!E27-Debt!E40</f>
        <v>0</v>
      </c>
      <c r="I44" s="133">
        <f>-Debt!F21-Debt!F27-Debt!F40</f>
        <v>0</v>
      </c>
      <c r="J44" s="133">
        <f>-Debt!G21-Debt!G27-Debt!G40</f>
        <v>0</v>
      </c>
      <c r="K44" s="133">
        <f>-Debt!H21-Debt!H27-Debt!H40</f>
        <v>0</v>
      </c>
      <c r="L44" s="133">
        <f>-Debt!I21-Debt!I27-Debt!I40</f>
        <v>0</v>
      </c>
      <c r="M44" s="133">
        <f>-Debt!J21-Debt!J27-Debt!J40</f>
        <v>0</v>
      </c>
      <c r="N44" s="133">
        <f>-Debt!K21-Debt!K27-Debt!K40</f>
        <v>0</v>
      </c>
      <c r="O44" s="133">
        <f>-Debt!L21-Debt!L27-Debt!L40</f>
        <v>0</v>
      </c>
      <c r="P44" s="217">
        <f t="shared" si="9"/>
        <v>0</v>
      </c>
      <c r="Q44" s="1"/>
      <c r="R44" s="1"/>
      <c r="S44" s="1"/>
      <c r="T44" s="1"/>
      <c r="U44" s="118"/>
      <c r="V44" s="118"/>
    </row>
    <row r="45" spans="3:22" ht="15">
      <c r="C45" s="216" t="s">
        <v>23</v>
      </c>
      <c r="D45" s="207"/>
      <c r="E45" s="133">
        <f>Debt!B60</f>
        <v>0</v>
      </c>
      <c r="F45" s="133">
        <f>Debt!C60</f>
        <v>82928.94</v>
      </c>
      <c r="G45" s="133">
        <f>Debt!D60</f>
        <v>82928.94</v>
      </c>
      <c r="H45" s="133">
        <f>Debt!E60</f>
        <v>82928.94</v>
      </c>
      <c r="I45" s="133">
        <f>Debt!F60</f>
        <v>82928.94</v>
      </c>
      <c r="J45" s="133">
        <f>Debt!G60</f>
        <v>82928.94</v>
      </c>
      <c r="K45" s="133">
        <f>Debt!H60</f>
        <v>0</v>
      </c>
      <c r="L45" s="133">
        <f>Debt!I60</f>
        <v>0</v>
      </c>
      <c r="M45" s="133">
        <f>Debt!J60</f>
        <v>0</v>
      </c>
      <c r="N45" s="133">
        <f>Debt!K60</f>
        <v>0</v>
      </c>
      <c r="O45" s="133">
        <f>Debt!L60</f>
        <v>0</v>
      </c>
      <c r="P45" s="217">
        <f t="shared" si="9"/>
        <v>414644.7</v>
      </c>
      <c r="Q45" s="1"/>
      <c r="R45" s="1"/>
      <c r="S45" s="1"/>
      <c r="T45" s="1"/>
      <c r="U45" s="118"/>
      <c r="V45" s="118"/>
    </row>
    <row r="46" spans="3:22" ht="15">
      <c r="C46" s="216" t="s">
        <v>314</v>
      </c>
      <c r="D46" s="207"/>
      <c r="E46" s="133"/>
      <c r="F46" s="133">
        <f>Cost_Loan_Guarantee*Debt!B31</f>
        <v>0</v>
      </c>
      <c r="G46" s="133">
        <f>Cost_Loan_Guarantee*Debt!C31</f>
        <v>0</v>
      </c>
      <c r="H46" s="133">
        <f>Cost_Loan_Guarantee*Debt!D31</f>
        <v>0</v>
      </c>
      <c r="I46" s="133">
        <f>Cost_Loan_Guarantee*Debt!E31</f>
        <v>0</v>
      </c>
      <c r="J46" s="133">
        <f>Cost_Loan_Guarantee*Debt!F31</f>
        <v>0</v>
      </c>
      <c r="K46" s="133">
        <f>Cost_Loan_Guarantee*Debt!G31</f>
        <v>0</v>
      </c>
      <c r="L46" s="133">
        <f>Cost_Loan_Guarantee*Debt!H31</f>
        <v>0</v>
      </c>
      <c r="M46" s="133">
        <f>Cost_Loan_Guarantee*Debt!I31</f>
        <v>0</v>
      </c>
      <c r="N46" s="133">
        <f>Cost_Loan_Guarantee*Debt!J31</f>
        <v>0</v>
      </c>
      <c r="O46" s="133">
        <f>Cost_Loan_Guarantee*Debt!K31</f>
        <v>0</v>
      </c>
      <c r="P46" s="217">
        <f t="shared" si="9"/>
        <v>0</v>
      </c>
      <c r="Q46" s="1"/>
      <c r="R46" s="1"/>
      <c r="S46" s="1"/>
      <c r="T46" s="1"/>
      <c r="U46" s="118"/>
      <c r="V46" s="118"/>
    </row>
    <row r="47" spans="3:22" ht="15">
      <c r="C47" s="216" t="s">
        <v>38</v>
      </c>
      <c r="D47" s="207"/>
      <c r="E47" s="176">
        <v>0</v>
      </c>
      <c r="F47" s="176">
        <v>0</v>
      </c>
      <c r="G47" s="176">
        <v>0</v>
      </c>
      <c r="H47" s="176">
        <v>0</v>
      </c>
      <c r="I47" s="176">
        <v>0</v>
      </c>
      <c r="J47" s="176">
        <v>0</v>
      </c>
      <c r="K47" s="176">
        <v>0</v>
      </c>
      <c r="L47" s="176">
        <v>0</v>
      </c>
      <c r="M47" s="176">
        <v>0</v>
      </c>
      <c r="N47" s="176">
        <v>0</v>
      </c>
      <c r="O47" s="176">
        <v>0</v>
      </c>
      <c r="P47" s="217">
        <f t="shared" si="9"/>
        <v>0</v>
      </c>
      <c r="Q47" s="1"/>
      <c r="R47" s="1"/>
      <c r="S47" s="1"/>
      <c r="T47" s="1"/>
      <c r="U47" s="118"/>
      <c r="V47" s="118"/>
    </row>
    <row r="48" spans="3:22" ht="15">
      <c r="C48" s="58" t="s">
        <v>106</v>
      </c>
      <c r="D48" s="219"/>
      <c r="E48" s="133">
        <f>SUM(E40:E47)</f>
        <v>17470</v>
      </c>
      <c r="F48" s="133">
        <f aca="true" t="shared" si="11" ref="F48:P48">SUM(F40:F47)</f>
        <v>82928.94</v>
      </c>
      <c r="G48" s="133">
        <f t="shared" si="11"/>
        <v>82928.94</v>
      </c>
      <c r="H48" s="133">
        <f t="shared" si="11"/>
        <v>82928.94</v>
      </c>
      <c r="I48" s="133">
        <f t="shared" si="11"/>
        <v>82928.94</v>
      </c>
      <c r="J48" s="133">
        <f t="shared" si="11"/>
        <v>82928.94</v>
      </c>
      <c r="K48" s="133">
        <f t="shared" si="11"/>
        <v>0</v>
      </c>
      <c r="L48" s="133">
        <f t="shared" si="11"/>
        <v>0</v>
      </c>
      <c r="M48" s="133">
        <f t="shared" si="11"/>
        <v>0</v>
      </c>
      <c r="N48" s="133">
        <f t="shared" si="11"/>
        <v>0</v>
      </c>
      <c r="O48" s="133">
        <f t="shared" si="11"/>
        <v>0</v>
      </c>
      <c r="P48" s="133">
        <f t="shared" si="11"/>
        <v>432114.7</v>
      </c>
      <c r="Q48" s="1"/>
      <c r="R48" s="1"/>
      <c r="S48" s="1"/>
      <c r="T48" s="1"/>
      <c r="U48" s="118"/>
      <c r="V48" s="118"/>
    </row>
    <row r="49" spans="3:22" ht="15">
      <c r="C49" s="216"/>
      <c r="D49" s="207"/>
      <c r="E49" s="133"/>
      <c r="F49" s="133"/>
      <c r="G49" s="133"/>
      <c r="H49" s="133"/>
      <c r="I49" s="133"/>
      <c r="J49" s="133"/>
      <c r="K49" s="133"/>
      <c r="L49" s="133"/>
      <c r="M49" s="133"/>
      <c r="N49" s="133"/>
      <c r="O49" s="133"/>
      <c r="P49" s="217"/>
      <c r="Q49" s="1"/>
      <c r="R49" s="1"/>
      <c r="S49" s="1"/>
      <c r="T49" s="1"/>
      <c r="U49" s="118"/>
      <c r="V49" s="118"/>
    </row>
    <row r="50" spans="3:22" ht="15">
      <c r="C50" s="216" t="s">
        <v>107</v>
      </c>
      <c r="D50" s="207"/>
      <c r="E50" s="133">
        <f aca="true" t="shared" si="12" ref="E50:O50">E38-E48</f>
        <v>-17470</v>
      </c>
      <c r="F50" s="133">
        <f t="shared" si="12"/>
        <v>22071.059999999998</v>
      </c>
      <c r="G50" s="133">
        <f t="shared" si="12"/>
        <v>22071.059999999998</v>
      </c>
      <c r="H50" s="133">
        <f t="shared" si="12"/>
        <v>22071.059999999998</v>
      </c>
      <c r="I50" s="133">
        <f t="shared" si="12"/>
        <v>22071.059999999998</v>
      </c>
      <c r="J50" s="133">
        <f t="shared" si="12"/>
        <v>22071.059999999998</v>
      </c>
      <c r="K50" s="133">
        <f t="shared" si="12"/>
        <v>0</v>
      </c>
      <c r="L50" s="133">
        <f t="shared" si="12"/>
        <v>0</v>
      </c>
      <c r="M50" s="133">
        <f t="shared" si="12"/>
        <v>0</v>
      </c>
      <c r="N50" s="133">
        <f t="shared" si="12"/>
        <v>0</v>
      </c>
      <c r="O50" s="133">
        <f t="shared" si="12"/>
        <v>0</v>
      </c>
      <c r="P50" s="217">
        <f>SUM(E50:O50)</f>
        <v>92885.29999999999</v>
      </c>
      <c r="Q50" s="1"/>
      <c r="R50" s="1"/>
      <c r="S50" s="1"/>
      <c r="T50" s="1"/>
      <c r="U50" s="118"/>
      <c r="V50" s="118"/>
    </row>
    <row r="51" spans="3:22" ht="15">
      <c r="C51" s="216" t="s">
        <v>108</v>
      </c>
      <c r="D51" s="207"/>
      <c r="E51" s="133">
        <f>E50</f>
        <v>-17470</v>
      </c>
      <c r="F51" s="133">
        <f aca="true" t="shared" si="13" ref="F51:O51">IF(E51&lt;0,E51+F50,F50)</f>
        <v>4601.059999999998</v>
      </c>
      <c r="G51" s="133">
        <f t="shared" si="13"/>
        <v>22071.059999999998</v>
      </c>
      <c r="H51" s="133">
        <f t="shared" si="13"/>
        <v>22071.059999999998</v>
      </c>
      <c r="I51" s="133">
        <f t="shared" si="13"/>
        <v>22071.059999999998</v>
      </c>
      <c r="J51" s="133">
        <f t="shared" si="13"/>
        <v>22071.059999999998</v>
      </c>
      <c r="K51" s="133">
        <f t="shared" si="13"/>
        <v>0</v>
      </c>
      <c r="L51" s="133">
        <f t="shared" si="13"/>
        <v>0</v>
      </c>
      <c r="M51" s="133">
        <f t="shared" si="13"/>
        <v>0</v>
      </c>
      <c r="N51" s="133">
        <f t="shared" si="13"/>
        <v>0</v>
      </c>
      <c r="O51" s="133">
        <f t="shared" si="13"/>
        <v>0</v>
      </c>
      <c r="P51" s="217">
        <f>SUM(E51:O51)</f>
        <v>75415.29999999999</v>
      </c>
      <c r="Q51" s="1"/>
      <c r="R51" s="1"/>
      <c r="S51" s="1"/>
      <c r="T51" s="1"/>
      <c r="U51" s="118"/>
      <c r="V51" s="118"/>
    </row>
    <row r="52" spans="3:22" ht="15">
      <c r="C52" s="216" t="s">
        <v>109</v>
      </c>
      <c r="D52" s="207"/>
      <c r="E52" s="133">
        <f>IF(E51&gt;0,E51*' Summary'!$J21,0)</f>
        <v>0</v>
      </c>
      <c r="F52" s="133">
        <f>IF(F51&gt;0,F51*' Summary'!$J21,0)</f>
        <v>1564.3603999999993</v>
      </c>
      <c r="G52" s="133">
        <f>IF(G51&gt;0,G51*' Summary'!$J21,0)</f>
        <v>7504.1604</v>
      </c>
      <c r="H52" s="133">
        <f>IF(H51&gt;0,H51*' Summary'!$J21,0)</f>
        <v>7504.1604</v>
      </c>
      <c r="I52" s="133">
        <f>IF(I51&gt;0,I51*' Summary'!$J21,0)</f>
        <v>7504.1604</v>
      </c>
      <c r="J52" s="133">
        <f>IF(J51&gt;0,J51*' Summary'!$J21,0)</f>
        <v>7504.1604</v>
      </c>
      <c r="K52" s="133">
        <f>IF(K51&gt;0,K51*' Summary'!$J21,0)</f>
        <v>0</v>
      </c>
      <c r="L52" s="133">
        <f>IF(L51&gt;0,L51*' Summary'!$J21,0)</f>
        <v>0</v>
      </c>
      <c r="M52" s="133">
        <f>IF(M51&gt;0,M51*' Summary'!$J21,0)</f>
        <v>0</v>
      </c>
      <c r="N52" s="133">
        <f>IF(N51&gt;0,N51*' Summary'!$J21,0)</f>
        <v>0</v>
      </c>
      <c r="O52" s="133">
        <f>IF(O51&gt;0,O51*' Summary'!$J21,0)</f>
        <v>0</v>
      </c>
      <c r="P52" s="217">
        <f>SUM(E52:O52)</f>
        <v>31581.002</v>
      </c>
      <c r="Q52" s="1"/>
      <c r="R52" s="1"/>
      <c r="S52" s="1"/>
      <c r="T52" s="1"/>
      <c r="U52" s="118"/>
      <c r="V52" s="118"/>
    </row>
    <row r="53" spans="3:22" ht="15">
      <c r="C53" s="58" t="s">
        <v>110</v>
      </c>
      <c r="D53" s="219"/>
      <c r="E53" s="133">
        <f aca="true" t="shared" si="14" ref="E53:O53">E50-E52</f>
        <v>-17470</v>
      </c>
      <c r="F53" s="133">
        <f t="shared" si="14"/>
        <v>20506.6996</v>
      </c>
      <c r="G53" s="133">
        <f t="shared" si="14"/>
        <v>14566.899599999997</v>
      </c>
      <c r="H53" s="133">
        <f t="shared" si="14"/>
        <v>14566.899599999997</v>
      </c>
      <c r="I53" s="133">
        <f t="shared" si="14"/>
        <v>14566.899599999997</v>
      </c>
      <c r="J53" s="133">
        <f t="shared" si="14"/>
        <v>14566.899599999997</v>
      </c>
      <c r="K53" s="133">
        <f t="shared" si="14"/>
        <v>0</v>
      </c>
      <c r="L53" s="133">
        <f t="shared" si="14"/>
        <v>0</v>
      </c>
      <c r="M53" s="133">
        <f t="shared" si="14"/>
        <v>0</v>
      </c>
      <c r="N53" s="133">
        <f t="shared" si="14"/>
        <v>0</v>
      </c>
      <c r="O53" s="133">
        <f t="shared" si="14"/>
        <v>0</v>
      </c>
      <c r="P53" s="217">
        <f>SUM(E53:O53)</f>
        <v>61304.29799999999</v>
      </c>
      <c r="Q53" s="1"/>
      <c r="R53" s="1"/>
      <c r="S53" s="1"/>
      <c r="T53" s="1"/>
      <c r="U53" s="118"/>
      <c r="V53" s="118"/>
    </row>
    <row r="54" spans="3:22" ht="15">
      <c r="C54" s="221"/>
      <c r="D54" s="222"/>
      <c r="E54" s="133"/>
      <c r="F54" s="133"/>
      <c r="G54" s="133"/>
      <c r="H54" s="133"/>
      <c r="I54" s="133"/>
      <c r="J54" s="133"/>
      <c r="K54" s="133"/>
      <c r="L54" s="133"/>
      <c r="M54" s="133"/>
      <c r="N54" s="133"/>
      <c r="O54" s="133"/>
      <c r="P54" s="217"/>
      <c r="Q54" s="1"/>
      <c r="R54" s="1"/>
      <c r="S54" s="1"/>
      <c r="T54" s="1"/>
      <c r="U54" s="118"/>
      <c r="V54" s="118"/>
    </row>
    <row r="55" spans="3:20" ht="15.75">
      <c r="C55" s="209" t="s">
        <v>337</v>
      </c>
      <c r="D55" s="210"/>
      <c r="E55" s="175"/>
      <c r="F55" s="175"/>
      <c r="G55" s="175"/>
      <c r="H55" s="175"/>
      <c r="I55" s="133"/>
      <c r="J55" s="175"/>
      <c r="K55" s="175"/>
      <c r="L55" s="175"/>
      <c r="M55" s="175"/>
      <c r="N55" s="175"/>
      <c r="O55" s="175"/>
      <c r="P55" s="217"/>
      <c r="Q55" s="1"/>
      <c r="R55" s="1"/>
      <c r="S55" s="1"/>
      <c r="T55" s="1"/>
    </row>
    <row r="56" spans="3:20" ht="15.75">
      <c r="C56" s="213" t="s">
        <v>222</v>
      </c>
      <c r="D56" s="214"/>
      <c r="E56" s="175"/>
      <c r="F56" s="175"/>
      <c r="G56" s="175"/>
      <c r="H56" s="175"/>
      <c r="I56" s="223"/>
      <c r="J56" s="175"/>
      <c r="K56" s="175"/>
      <c r="L56" s="175"/>
      <c r="M56" s="175"/>
      <c r="N56" s="175"/>
      <c r="O56" s="175"/>
      <c r="P56" s="217"/>
      <c r="Q56" s="1"/>
      <c r="R56" s="1"/>
      <c r="S56" s="1"/>
      <c r="T56" s="1"/>
    </row>
    <row r="57" spans="3:20" ht="15">
      <c r="C57" s="62" t="s">
        <v>168</v>
      </c>
      <c r="D57" s="186"/>
      <c r="E57" s="175">
        <f aca="true" t="shared" si="15" ref="E57:O57">E53</f>
        <v>-17470</v>
      </c>
      <c r="F57" s="175">
        <f t="shared" si="15"/>
        <v>20506.6996</v>
      </c>
      <c r="G57" s="175">
        <f t="shared" si="15"/>
        <v>14566.899599999997</v>
      </c>
      <c r="H57" s="175">
        <f t="shared" si="15"/>
        <v>14566.899599999997</v>
      </c>
      <c r="I57" s="175">
        <f t="shared" si="15"/>
        <v>14566.899599999997</v>
      </c>
      <c r="J57" s="175">
        <f t="shared" si="15"/>
        <v>14566.899599999997</v>
      </c>
      <c r="K57" s="175">
        <f t="shared" si="15"/>
        <v>0</v>
      </c>
      <c r="L57" s="175">
        <f t="shared" si="15"/>
        <v>0</v>
      </c>
      <c r="M57" s="175">
        <f t="shared" si="15"/>
        <v>0</v>
      </c>
      <c r="N57" s="175">
        <f t="shared" si="15"/>
        <v>0</v>
      </c>
      <c r="O57" s="175">
        <f t="shared" si="15"/>
        <v>0</v>
      </c>
      <c r="P57" s="217">
        <f>SUM(E57:O57)</f>
        <v>61304.29799999999</v>
      </c>
      <c r="Q57" s="1"/>
      <c r="R57" s="1"/>
      <c r="S57" s="1"/>
      <c r="T57" s="1"/>
    </row>
    <row r="58" spans="3:20" ht="15">
      <c r="C58" s="62" t="s">
        <v>23</v>
      </c>
      <c r="D58" s="186"/>
      <c r="E58" s="175">
        <f aca="true" t="shared" si="16" ref="E58:O58">E45</f>
        <v>0</v>
      </c>
      <c r="F58" s="175">
        <f t="shared" si="16"/>
        <v>82928.94</v>
      </c>
      <c r="G58" s="175">
        <f t="shared" si="16"/>
        <v>82928.94</v>
      </c>
      <c r="H58" s="175">
        <f t="shared" si="16"/>
        <v>82928.94</v>
      </c>
      <c r="I58" s="175">
        <f t="shared" si="16"/>
        <v>82928.94</v>
      </c>
      <c r="J58" s="175">
        <f t="shared" si="16"/>
        <v>82928.94</v>
      </c>
      <c r="K58" s="175">
        <f t="shared" si="16"/>
        <v>0</v>
      </c>
      <c r="L58" s="175">
        <f t="shared" si="16"/>
        <v>0</v>
      </c>
      <c r="M58" s="175">
        <f t="shared" si="16"/>
        <v>0</v>
      </c>
      <c r="N58" s="175">
        <f t="shared" si="16"/>
        <v>0</v>
      </c>
      <c r="O58" s="175">
        <f t="shared" si="16"/>
        <v>0</v>
      </c>
      <c r="P58" s="217">
        <f>SUM(E58:O58)</f>
        <v>414644.7</v>
      </c>
      <c r="Q58" s="1"/>
      <c r="R58" s="1"/>
      <c r="S58" s="1"/>
      <c r="T58" s="1"/>
    </row>
    <row r="59" spans="3:60" ht="15">
      <c r="C59" s="216" t="s">
        <v>38</v>
      </c>
      <c r="D59" s="207"/>
      <c r="E59" s="178">
        <v>0</v>
      </c>
      <c r="F59" s="178">
        <v>0</v>
      </c>
      <c r="G59" s="178">
        <v>0</v>
      </c>
      <c r="H59" s="178">
        <v>0</v>
      </c>
      <c r="I59" s="178">
        <v>0</v>
      </c>
      <c r="J59" s="178">
        <v>0</v>
      </c>
      <c r="K59" s="178">
        <v>0</v>
      </c>
      <c r="L59" s="178">
        <v>0</v>
      </c>
      <c r="M59" s="178">
        <v>0</v>
      </c>
      <c r="N59" s="178">
        <v>0</v>
      </c>
      <c r="O59" s="178">
        <v>0</v>
      </c>
      <c r="P59" s="218">
        <f>SUM(E59:O59)</f>
        <v>0</v>
      </c>
      <c r="Q59" s="1"/>
      <c r="R59" s="1"/>
      <c r="S59" s="1"/>
      <c r="T59" s="1"/>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row>
    <row r="60" spans="3:60" ht="15">
      <c r="C60" s="58" t="s">
        <v>223</v>
      </c>
      <c r="D60" s="219"/>
      <c r="E60" s="175">
        <f aca="true" t="shared" si="17" ref="E60:O60">SUM(E57:E59)</f>
        <v>-17470</v>
      </c>
      <c r="F60" s="175">
        <f t="shared" si="17"/>
        <v>103435.6396</v>
      </c>
      <c r="G60" s="175">
        <f t="shared" si="17"/>
        <v>97495.8396</v>
      </c>
      <c r="H60" s="175">
        <f t="shared" si="17"/>
        <v>97495.8396</v>
      </c>
      <c r="I60" s="175">
        <f t="shared" si="17"/>
        <v>97495.8396</v>
      </c>
      <c r="J60" s="175">
        <f t="shared" si="17"/>
        <v>97495.8396</v>
      </c>
      <c r="K60" s="175">
        <f t="shared" si="17"/>
        <v>0</v>
      </c>
      <c r="L60" s="175">
        <f t="shared" si="17"/>
        <v>0</v>
      </c>
      <c r="M60" s="175">
        <f t="shared" si="17"/>
        <v>0</v>
      </c>
      <c r="N60" s="175">
        <f t="shared" si="17"/>
        <v>0</v>
      </c>
      <c r="O60" s="175">
        <f t="shared" si="17"/>
        <v>0</v>
      </c>
      <c r="P60" s="217">
        <f>SUM(E60:O60)</f>
        <v>475948.998</v>
      </c>
      <c r="Q60" s="1"/>
      <c r="R60" s="1"/>
      <c r="S60" s="1"/>
      <c r="T60" s="1"/>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row>
    <row r="61" spans="3:60" ht="15">
      <c r="C61" s="224" t="s">
        <v>224</v>
      </c>
      <c r="D61" s="179"/>
      <c r="E61" s="175"/>
      <c r="F61" s="175"/>
      <c r="G61" s="175"/>
      <c r="H61" s="175"/>
      <c r="I61" s="175"/>
      <c r="J61" s="175"/>
      <c r="K61" s="175"/>
      <c r="L61" s="175"/>
      <c r="M61" s="175"/>
      <c r="N61" s="175"/>
      <c r="O61" s="175"/>
      <c r="P61" s="217"/>
      <c r="Q61" s="1"/>
      <c r="R61" s="1"/>
      <c r="S61" s="1"/>
      <c r="T61" s="1"/>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row>
    <row r="62" spans="3:60" ht="15">
      <c r="C62" s="225" t="s">
        <v>226</v>
      </c>
      <c r="D62" s="180"/>
      <c r="E62" s="175">
        <f>IF(Data!B1=FALSE,-' Summary'!C7,-Debt!M44)</f>
        <v>-414644.7</v>
      </c>
      <c r="F62" s="175">
        <f>-Debt!S44+Debt!M44</f>
        <v>0</v>
      </c>
      <c r="G62" s="175"/>
      <c r="H62" s="175"/>
      <c r="I62" s="175"/>
      <c r="J62" s="175"/>
      <c r="K62" s="175"/>
      <c r="L62" s="175"/>
      <c r="M62" s="175"/>
      <c r="N62" s="175"/>
      <c r="O62" s="175"/>
      <c r="P62" s="217">
        <f>SUM(E62:O62)</f>
        <v>-414644.7</v>
      </c>
      <c r="Q62" s="1"/>
      <c r="R62" s="1"/>
      <c r="S62" s="1"/>
      <c r="T62" s="1"/>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row>
    <row r="63" spans="3:60" ht="15">
      <c r="C63" s="226" t="s">
        <v>38</v>
      </c>
      <c r="D63" s="181"/>
      <c r="E63" s="178">
        <v>0</v>
      </c>
      <c r="F63" s="178">
        <v>0</v>
      </c>
      <c r="G63" s="178">
        <v>0</v>
      </c>
      <c r="H63" s="178">
        <v>0</v>
      </c>
      <c r="I63" s="178">
        <v>0</v>
      </c>
      <c r="J63" s="178">
        <v>0</v>
      </c>
      <c r="K63" s="178">
        <v>0</v>
      </c>
      <c r="L63" s="178">
        <v>0</v>
      </c>
      <c r="M63" s="178">
        <v>0</v>
      </c>
      <c r="N63" s="178">
        <v>0</v>
      </c>
      <c r="O63" s="178">
        <v>0</v>
      </c>
      <c r="P63" s="218">
        <f>SUM(E63:O63)</f>
        <v>0</v>
      </c>
      <c r="Q63" s="1"/>
      <c r="R63" s="1"/>
      <c r="S63" s="1"/>
      <c r="T63" s="1"/>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row>
    <row r="64" spans="3:60" ht="15">
      <c r="C64" s="227" t="s">
        <v>223</v>
      </c>
      <c r="D64" s="182"/>
      <c r="E64" s="175">
        <f>SUM(E62:E63)</f>
        <v>-414644.7</v>
      </c>
      <c r="F64" s="175">
        <f aca="true" t="shared" si="18" ref="F64:O64">SUM(F62:F63)</f>
        <v>0</v>
      </c>
      <c r="G64" s="175">
        <f t="shared" si="18"/>
        <v>0</v>
      </c>
      <c r="H64" s="175">
        <f t="shared" si="18"/>
        <v>0</v>
      </c>
      <c r="I64" s="175">
        <f t="shared" si="18"/>
        <v>0</v>
      </c>
      <c r="J64" s="175">
        <f t="shared" si="18"/>
        <v>0</v>
      </c>
      <c r="K64" s="175">
        <f t="shared" si="18"/>
        <v>0</v>
      </c>
      <c r="L64" s="175">
        <f t="shared" si="18"/>
        <v>0</v>
      </c>
      <c r="M64" s="175">
        <f t="shared" si="18"/>
        <v>0</v>
      </c>
      <c r="N64" s="175">
        <f t="shared" si="18"/>
        <v>0</v>
      </c>
      <c r="O64" s="175">
        <f t="shared" si="18"/>
        <v>0</v>
      </c>
      <c r="P64" s="217">
        <f>SUM(E64:O64)</f>
        <v>-414644.7</v>
      </c>
      <c r="Q64" s="1"/>
      <c r="R64" s="1"/>
      <c r="S64" s="1"/>
      <c r="T64" s="1"/>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row>
    <row r="65" spans="3:60" ht="15">
      <c r="C65" s="224" t="s">
        <v>225</v>
      </c>
      <c r="D65" s="179"/>
      <c r="E65" s="175"/>
      <c r="F65" s="175"/>
      <c r="G65" s="175"/>
      <c r="H65" s="175"/>
      <c r="I65" s="175"/>
      <c r="J65" s="175"/>
      <c r="K65" s="175"/>
      <c r="L65" s="175"/>
      <c r="M65" s="175"/>
      <c r="N65" s="175"/>
      <c r="O65" s="175"/>
      <c r="P65" s="217"/>
      <c r="Q65" s="1"/>
      <c r="R65" s="1"/>
      <c r="S65" s="1"/>
      <c r="T65" s="1"/>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row>
    <row r="66" spans="3:60" ht="15">
      <c r="C66" s="226" t="s">
        <v>240</v>
      </c>
      <c r="D66" s="181"/>
      <c r="E66" s="175">
        <f>Debt!M44</f>
        <v>0</v>
      </c>
      <c r="F66" s="175">
        <f>Debt!S44-Debt!M44</f>
        <v>0</v>
      </c>
      <c r="G66" s="175"/>
      <c r="H66" s="175"/>
      <c r="I66" s="175"/>
      <c r="J66" s="175"/>
      <c r="K66" s="175"/>
      <c r="L66" s="175"/>
      <c r="M66" s="175"/>
      <c r="N66" s="175"/>
      <c r="O66" s="175"/>
      <c r="P66" s="217">
        <f>SUM(E66:O66)</f>
        <v>0</v>
      </c>
      <c r="Q66" s="1"/>
      <c r="R66" s="1"/>
      <c r="S66" s="1"/>
      <c r="T66" s="1"/>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row>
    <row r="67" spans="3:60" ht="15">
      <c r="C67" s="225" t="s">
        <v>97</v>
      </c>
      <c r="D67" s="180"/>
      <c r="E67" s="175">
        <f>Debt!B18</f>
        <v>0</v>
      </c>
      <c r="F67" s="175">
        <f>Debt!C18</f>
        <v>0</v>
      </c>
      <c r="G67" s="175"/>
      <c r="H67" s="175"/>
      <c r="I67" s="175"/>
      <c r="J67" s="175"/>
      <c r="K67" s="175"/>
      <c r="L67" s="175"/>
      <c r="M67" s="175"/>
      <c r="N67" s="175"/>
      <c r="O67" s="175"/>
      <c r="P67" s="217">
        <f>SUM(E67:O67)</f>
        <v>0</v>
      </c>
      <c r="Q67" s="1"/>
      <c r="R67" s="1"/>
      <c r="S67" s="1"/>
      <c r="T67" s="1"/>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row>
    <row r="68" spans="3:60" ht="15">
      <c r="C68" s="225" t="s">
        <v>98</v>
      </c>
      <c r="D68" s="180"/>
      <c r="E68" s="175"/>
      <c r="F68" s="175">
        <f>-Debt!B39</f>
        <v>0</v>
      </c>
      <c r="G68" s="175"/>
      <c r="H68" s="175"/>
      <c r="I68" s="175"/>
      <c r="J68" s="175"/>
      <c r="K68" s="175"/>
      <c r="L68" s="175"/>
      <c r="M68" s="175"/>
      <c r="N68" s="175"/>
      <c r="O68" s="175"/>
      <c r="P68" s="217">
        <f>SUM(E68:O68)</f>
        <v>0</v>
      </c>
      <c r="Q68" s="1"/>
      <c r="R68" s="1"/>
      <c r="S68" s="1"/>
      <c r="T68" s="1"/>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row>
    <row r="69" spans="3:60" ht="15">
      <c r="C69" s="225" t="s">
        <v>241</v>
      </c>
      <c r="D69" s="180"/>
      <c r="E69" s="178">
        <f>Debt!B22+Debt!B28</f>
        <v>0</v>
      </c>
      <c r="F69" s="178">
        <f>Debt!C22+Debt!C28</f>
        <v>0</v>
      </c>
      <c r="G69" s="178">
        <f>Debt!D22+Debt!D28</f>
        <v>0</v>
      </c>
      <c r="H69" s="178">
        <f>Debt!E22+Debt!E28</f>
        <v>0</v>
      </c>
      <c r="I69" s="178">
        <f>Debt!F22+Debt!F28</f>
        <v>0</v>
      </c>
      <c r="J69" s="178">
        <f>Debt!G22+Debt!G28</f>
        <v>0</v>
      </c>
      <c r="K69" s="178">
        <f>Debt!H22+Debt!H28</f>
        <v>0</v>
      </c>
      <c r="L69" s="178">
        <f>Debt!I22+Debt!I28</f>
        <v>0</v>
      </c>
      <c r="M69" s="178">
        <f>Debt!J22+Debt!J28</f>
        <v>0</v>
      </c>
      <c r="N69" s="178">
        <f>Debt!K22+Debt!K28</f>
        <v>0</v>
      </c>
      <c r="O69" s="178">
        <f>Debt!L22+Debt!L28</f>
        <v>0</v>
      </c>
      <c r="P69" s="218">
        <f>SUM(E69:O69)</f>
        <v>0</v>
      </c>
      <c r="Q69" s="1"/>
      <c r="R69" s="1"/>
      <c r="S69" s="1"/>
      <c r="T69" s="1"/>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row>
    <row r="70" spans="3:60" ht="15">
      <c r="C70" s="227" t="s">
        <v>223</v>
      </c>
      <c r="D70" s="182"/>
      <c r="E70" s="175">
        <f aca="true" t="shared" si="19" ref="E70:P70">SUM(E66:E69)</f>
        <v>0</v>
      </c>
      <c r="F70" s="175">
        <f t="shared" si="19"/>
        <v>0</v>
      </c>
      <c r="G70" s="175">
        <f t="shared" si="19"/>
        <v>0</v>
      </c>
      <c r="H70" s="175">
        <f t="shared" si="19"/>
        <v>0</v>
      </c>
      <c r="I70" s="175">
        <f t="shared" si="19"/>
        <v>0</v>
      </c>
      <c r="J70" s="175">
        <f t="shared" si="19"/>
        <v>0</v>
      </c>
      <c r="K70" s="175">
        <f t="shared" si="19"/>
        <v>0</v>
      </c>
      <c r="L70" s="175">
        <f t="shared" si="19"/>
        <v>0</v>
      </c>
      <c r="M70" s="175">
        <f t="shared" si="19"/>
        <v>0</v>
      </c>
      <c r="N70" s="175">
        <f t="shared" si="19"/>
        <v>0</v>
      </c>
      <c r="O70" s="175">
        <f t="shared" si="19"/>
        <v>0</v>
      </c>
      <c r="P70" s="228">
        <f t="shared" si="19"/>
        <v>0</v>
      </c>
      <c r="Q70" s="1"/>
      <c r="R70" s="1"/>
      <c r="S70" s="1"/>
      <c r="T70" s="1"/>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row>
    <row r="71" spans="3:60" ht="15">
      <c r="C71" s="227"/>
      <c r="D71" s="182"/>
      <c r="E71" s="175"/>
      <c r="F71" s="175"/>
      <c r="G71" s="175"/>
      <c r="H71" s="175"/>
      <c r="I71" s="175"/>
      <c r="J71" s="175"/>
      <c r="K71" s="175"/>
      <c r="L71" s="175"/>
      <c r="M71" s="175"/>
      <c r="N71" s="175"/>
      <c r="O71" s="175"/>
      <c r="P71" s="217"/>
      <c r="Q71" s="1"/>
      <c r="R71" s="1"/>
      <c r="S71" s="1"/>
      <c r="T71" s="1"/>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row>
    <row r="72" spans="3:60" ht="15">
      <c r="C72" s="229" t="s">
        <v>338</v>
      </c>
      <c r="D72" s="183"/>
      <c r="E72" s="230" t="s">
        <v>139</v>
      </c>
      <c r="F72" s="175"/>
      <c r="G72" s="175"/>
      <c r="H72" s="175"/>
      <c r="I72" s="175"/>
      <c r="J72" s="175"/>
      <c r="K72" s="175"/>
      <c r="L72" s="175"/>
      <c r="M72" s="175"/>
      <c r="N72" s="175"/>
      <c r="O72" s="175"/>
      <c r="P72" s="217"/>
      <c r="Q72" s="1"/>
      <c r="R72" s="1"/>
      <c r="S72" s="1"/>
      <c r="T72" s="1"/>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row>
    <row r="73" spans="3:60" ht="15">
      <c r="C73" s="231" t="s">
        <v>218</v>
      </c>
      <c r="D73" s="184"/>
      <c r="E73" s="175">
        <f aca="true" t="shared" si="20" ref="E73:O73">E60+E64+E70</f>
        <v>-432114.7</v>
      </c>
      <c r="F73" s="175">
        <f t="shared" si="20"/>
        <v>103435.6396</v>
      </c>
      <c r="G73" s="175">
        <f t="shared" si="20"/>
        <v>97495.8396</v>
      </c>
      <c r="H73" s="175">
        <f t="shared" si="20"/>
        <v>97495.8396</v>
      </c>
      <c r="I73" s="175">
        <f t="shared" si="20"/>
        <v>97495.8396</v>
      </c>
      <c r="J73" s="175">
        <f t="shared" si="20"/>
        <v>97495.8396</v>
      </c>
      <c r="K73" s="175">
        <f t="shared" si="20"/>
        <v>0</v>
      </c>
      <c r="L73" s="175">
        <f t="shared" si="20"/>
        <v>0</v>
      </c>
      <c r="M73" s="175">
        <f t="shared" si="20"/>
        <v>0</v>
      </c>
      <c r="N73" s="175">
        <f t="shared" si="20"/>
        <v>0</v>
      </c>
      <c r="O73" s="175">
        <f t="shared" si="20"/>
        <v>0</v>
      </c>
      <c r="P73" s="217">
        <f>SUM(E73:O73)</f>
        <v>61304.29800000001</v>
      </c>
      <c r="Q73" s="1">
        <f>SUM(F73:O73)</f>
        <v>493418.998</v>
      </c>
      <c r="R73" s="1"/>
      <c r="S73" s="1"/>
      <c r="T73" s="1"/>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row>
    <row r="74" spans="3:60" ht="15" hidden="1">
      <c r="C74" s="231"/>
      <c r="D74" s="184"/>
      <c r="E74" s="393">
        <v>0</v>
      </c>
      <c r="F74" s="394">
        <v>1</v>
      </c>
      <c r="G74" s="395">
        <v>2</v>
      </c>
      <c r="H74" s="395">
        <v>3</v>
      </c>
      <c r="I74" s="395">
        <v>4</v>
      </c>
      <c r="J74" s="395">
        <v>5</v>
      </c>
      <c r="K74" s="395">
        <v>6</v>
      </c>
      <c r="L74" s="395">
        <v>7</v>
      </c>
      <c r="M74" s="395">
        <v>8</v>
      </c>
      <c r="N74" s="395">
        <v>9</v>
      </c>
      <c r="O74" s="395">
        <v>10</v>
      </c>
      <c r="P74" s="217"/>
      <c r="Q74" s="1"/>
      <c r="R74" s="1"/>
      <c r="S74" s="1"/>
      <c r="T74" s="1"/>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row>
    <row r="75" spans="3:60" ht="15">
      <c r="C75" s="231" t="s">
        <v>101</v>
      </c>
      <c r="D75" s="184"/>
      <c r="E75" s="175">
        <f>E73</f>
        <v>-432114.7</v>
      </c>
      <c r="F75" s="175">
        <f aca="true" t="shared" si="21" ref="F75:O75">E75+F73</f>
        <v>-328679.0604</v>
      </c>
      <c r="G75" s="175">
        <f t="shared" si="21"/>
        <v>-231183.2208</v>
      </c>
      <c r="H75" s="175">
        <f t="shared" si="21"/>
        <v>-133687.3812</v>
      </c>
      <c r="I75" s="175">
        <f t="shared" si="21"/>
        <v>-36191.5416</v>
      </c>
      <c r="J75" s="175">
        <f t="shared" si="21"/>
        <v>61304.29800000001</v>
      </c>
      <c r="K75" s="175">
        <f t="shared" si="21"/>
        <v>61304.29800000001</v>
      </c>
      <c r="L75" s="175">
        <f t="shared" si="21"/>
        <v>61304.29800000001</v>
      </c>
      <c r="M75" s="175">
        <f t="shared" si="21"/>
        <v>61304.29800000001</v>
      </c>
      <c r="N75" s="175">
        <f t="shared" si="21"/>
        <v>61304.29800000001</v>
      </c>
      <c r="O75" s="175">
        <f t="shared" si="21"/>
        <v>61304.29800000001</v>
      </c>
      <c r="P75" s="217"/>
      <c r="Q75" s="1">
        <f>E73+Q73</f>
        <v>61304.29800000001</v>
      </c>
      <c r="R75" s="1"/>
      <c r="S75" s="1"/>
      <c r="T75" s="1"/>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row>
    <row r="76" spans="3:60" ht="15" hidden="1">
      <c r="C76" s="186"/>
      <c r="D76" s="186"/>
      <c r="E76" s="393">
        <v>0</v>
      </c>
      <c r="F76" s="394">
        <v>1</v>
      </c>
      <c r="G76" s="395">
        <v>2</v>
      </c>
      <c r="H76" s="395">
        <v>3</v>
      </c>
      <c r="I76" s="395">
        <v>4</v>
      </c>
      <c r="J76" s="395">
        <v>5</v>
      </c>
      <c r="K76" s="395">
        <v>6</v>
      </c>
      <c r="L76" s="395">
        <v>7</v>
      </c>
      <c r="M76" s="395">
        <v>8</v>
      </c>
      <c r="N76" s="395">
        <v>9</v>
      </c>
      <c r="O76" s="395">
        <v>10</v>
      </c>
      <c r="P76" s="396"/>
      <c r="Q76" s="1"/>
      <c r="R76" s="1"/>
      <c r="S76" s="1"/>
      <c r="T76" s="1"/>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row>
    <row r="77" spans="3:20" ht="15">
      <c r="C77" s="231" t="s">
        <v>138</v>
      </c>
      <c r="D77" s="184"/>
      <c r="E77" s="133"/>
      <c r="F77" s="185">
        <f>IRR(E73:O73)</f>
        <v>0.04631732989134446</v>
      </c>
      <c r="G77" s="133"/>
      <c r="H77" s="133"/>
      <c r="I77" s="133"/>
      <c r="J77" s="133"/>
      <c r="K77" s="133"/>
      <c r="L77" s="133"/>
      <c r="M77" s="133"/>
      <c r="N77" s="133"/>
      <c r="O77" s="133"/>
      <c r="P77" s="217"/>
      <c r="Q77" s="1"/>
      <c r="R77" s="1"/>
      <c r="S77" s="1"/>
      <c r="T77" s="1"/>
    </row>
    <row r="78" spans="3:20" ht="15.75" thickBot="1">
      <c r="C78" s="232" t="s">
        <v>251</v>
      </c>
      <c r="D78" s="233"/>
      <c r="E78" s="234">
        <f>' Summary'!C18</f>
        <v>0</v>
      </c>
      <c r="F78" s="132">
        <f>NPV(E78,F73:O73)+E73</f>
        <v>61304.29800000001</v>
      </c>
      <c r="G78" s="1068"/>
      <c r="H78" s="235"/>
      <c r="I78" s="235"/>
      <c r="J78" s="235"/>
      <c r="K78" s="235"/>
      <c r="L78" s="235"/>
      <c r="M78" s="235"/>
      <c r="N78" s="235"/>
      <c r="O78" s="235"/>
      <c r="P78" s="236"/>
      <c r="Q78" s="1"/>
      <c r="R78" s="1"/>
      <c r="S78" s="1"/>
      <c r="T78" s="1"/>
    </row>
    <row r="79" spans="6:21" ht="15">
      <c r="F79" s="291"/>
      <c r="Q79" s="1"/>
      <c r="R79" s="1"/>
      <c r="S79" s="1"/>
      <c r="T79" s="398" t="s">
        <v>288</v>
      </c>
      <c r="U79">
        <f>HLOOKUP(E76,E75:O76,2)</f>
        <v>4</v>
      </c>
    </row>
    <row r="80" spans="3:21" ht="15">
      <c r="C80" s="25"/>
      <c r="D80" s="25"/>
      <c r="E80" s="107"/>
      <c r="F80" s="107"/>
      <c r="G80" s="107"/>
      <c r="H80" s="107"/>
      <c r="I80" s="107"/>
      <c r="J80" s="107"/>
      <c r="K80" s="107"/>
      <c r="L80" s="107"/>
      <c r="M80" s="107"/>
      <c r="N80" s="107"/>
      <c r="O80" s="107"/>
      <c r="P80" s="107"/>
      <c r="Q80" s="1"/>
      <c r="R80" s="1"/>
      <c r="S80" s="1"/>
      <c r="T80" s="398" t="s">
        <v>289</v>
      </c>
      <c r="U80">
        <f>U79+1</f>
        <v>5</v>
      </c>
    </row>
    <row r="81" spans="4:19" ht="15.75" thickBot="1">
      <c r="D81" s="155"/>
      <c r="E81" s="138"/>
      <c r="F81" s="107"/>
      <c r="G81" s="107"/>
      <c r="H81" s="107"/>
      <c r="I81" s="137"/>
      <c r="J81" s="107"/>
      <c r="K81" s="107"/>
      <c r="L81" s="107"/>
      <c r="M81" s="107"/>
      <c r="N81" s="107"/>
      <c r="O81" s="107"/>
      <c r="P81" s="137"/>
      <c r="Q81" s="137"/>
      <c r="R81" s="1"/>
      <c r="S81" s="1"/>
    </row>
    <row r="82" spans="3:21" ht="15">
      <c r="C82" s="1106" t="s">
        <v>339</v>
      </c>
      <c r="D82" s="237" t="s">
        <v>248</v>
      </c>
      <c r="E82" s="944" t="str">
        <f>E32</f>
        <v>Construction</v>
      </c>
      <c r="F82" s="944" t="str">
        <f>F32</f>
        <v>Operations</v>
      </c>
      <c r="G82" s="238"/>
      <c r="H82" s="238"/>
      <c r="I82" s="238"/>
      <c r="J82" s="238"/>
      <c r="K82" s="238"/>
      <c r="L82" s="238"/>
      <c r="M82" s="238"/>
      <c r="N82" s="238"/>
      <c r="O82" s="239"/>
      <c r="P82" s="137"/>
      <c r="Q82" s="137"/>
      <c r="R82" s="1"/>
      <c r="S82" s="1"/>
      <c r="T82" s="398" t="s">
        <v>291</v>
      </c>
      <c r="U82" s="1">
        <f>HLOOKUP(U79,E75:O76,1)</f>
        <v>-36191.5416</v>
      </c>
    </row>
    <row r="83" spans="3:21" ht="15.75" thickBot="1">
      <c r="C83" s="1107"/>
      <c r="D83" s="252"/>
      <c r="E83" s="253"/>
      <c r="F83" s="254">
        <f>F33</f>
        <v>1</v>
      </c>
      <c r="G83" s="254">
        <f>G33</f>
        <v>2</v>
      </c>
      <c r="H83" s="254">
        <f aca="true" t="shared" si="22" ref="H83:O83">H33</f>
        <v>3</v>
      </c>
      <c r="I83" s="254">
        <f t="shared" si="22"/>
        <v>4</v>
      </c>
      <c r="J83" s="254">
        <f t="shared" si="22"/>
        <v>5</v>
      </c>
      <c r="K83" s="254">
        <f t="shared" si="22"/>
        <v>6</v>
      </c>
      <c r="L83" s="254">
        <f t="shared" si="22"/>
        <v>7</v>
      </c>
      <c r="M83" s="254">
        <f t="shared" si="22"/>
        <v>8</v>
      </c>
      <c r="N83" s="254">
        <f t="shared" si="22"/>
        <v>9</v>
      </c>
      <c r="O83" s="255">
        <f t="shared" si="22"/>
        <v>10</v>
      </c>
      <c r="P83" s="137"/>
      <c r="Q83" s="137"/>
      <c r="R83" s="1"/>
      <c r="S83" s="1"/>
      <c r="T83" s="398" t="s">
        <v>290</v>
      </c>
      <c r="U83" s="1">
        <f>HLOOKUP(U80,E74:O76,2)</f>
        <v>61304.29800000001</v>
      </c>
    </row>
    <row r="84" spans="3:21" ht="15">
      <c r="C84" s="251" t="s">
        <v>156</v>
      </c>
      <c r="D84" s="240"/>
      <c r="E84" s="187"/>
      <c r="F84" s="133"/>
      <c r="G84" s="133"/>
      <c r="H84" s="133"/>
      <c r="I84" s="133"/>
      <c r="J84" s="133"/>
      <c r="K84" s="133"/>
      <c r="L84" s="133"/>
      <c r="M84" s="133"/>
      <c r="N84" s="133"/>
      <c r="O84" s="217"/>
      <c r="P84" s="137"/>
      <c r="Q84" s="137"/>
      <c r="R84" s="1"/>
      <c r="S84" s="1"/>
      <c r="T84" s="1"/>
      <c r="U84" s="156">
        <f>-U82/(U83-U82)</f>
        <v>0.3712111383263578</v>
      </c>
    </row>
    <row r="85" spans="3:21" ht="15">
      <c r="C85" s="189" t="s">
        <v>145</v>
      </c>
      <c r="D85" s="241">
        <f>' Summary'!C39</f>
        <v>5000000</v>
      </c>
      <c r="E85" s="187">
        <f aca="true" t="shared" si="23" ref="E85:O85">$D85+E38</f>
        <v>5000000</v>
      </c>
      <c r="F85" s="187">
        <f t="shared" si="23"/>
        <v>5105000</v>
      </c>
      <c r="G85" s="187">
        <f t="shared" si="23"/>
        <v>5105000</v>
      </c>
      <c r="H85" s="187">
        <f t="shared" si="23"/>
        <v>5105000</v>
      </c>
      <c r="I85" s="187">
        <f t="shared" si="23"/>
        <v>5105000</v>
      </c>
      <c r="J85" s="187">
        <f t="shared" si="23"/>
        <v>5105000</v>
      </c>
      <c r="K85" s="187">
        <f t="shared" si="23"/>
        <v>5000000</v>
      </c>
      <c r="L85" s="187">
        <f t="shared" si="23"/>
        <v>5000000</v>
      </c>
      <c r="M85" s="187">
        <f t="shared" si="23"/>
        <v>5000000</v>
      </c>
      <c r="N85" s="187">
        <f t="shared" si="23"/>
        <v>5000000</v>
      </c>
      <c r="O85" s="242">
        <f t="shared" si="23"/>
        <v>5000000</v>
      </c>
      <c r="P85" s="137"/>
      <c r="Q85" s="137"/>
      <c r="R85" s="1"/>
      <c r="S85" s="1"/>
      <c r="T85" s="397" t="s">
        <v>292</v>
      </c>
      <c r="U85">
        <f>U79+U84</f>
        <v>4.371211138326358</v>
      </c>
    </row>
    <row r="86" spans="3:20" ht="15">
      <c r="C86" s="189" t="s">
        <v>186</v>
      </c>
      <c r="D86" s="241">
        <f>' Summary'!C40</f>
        <v>2000000</v>
      </c>
      <c r="E86" s="187">
        <f aca="true" t="shared" si="24" ref="E86:O86">$D86+E42+E43+E47</f>
        <v>2000000</v>
      </c>
      <c r="F86" s="187">
        <f t="shared" si="24"/>
        <v>2000000</v>
      </c>
      <c r="G86" s="187">
        <f t="shared" si="24"/>
        <v>2000000</v>
      </c>
      <c r="H86" s="187">
        <f t="shared" si="24"/>
        <v>2000000</v>
      </c>
      <c r="I86" s="187">
        <f t="shared" si="24"/>
        <v>2000000</v>
      </c>
      <c r="J86" s="187">
        <f t="shared" si="24"/>
        <v>2000000</v>
      </c>
      <c r="K86" s="187">
        <f t="shared" si="24"/>
        <v>2000000</v>
      </c>
      <c r="L86" s="187">
        <f t="shared" si="24"/>
        <v>2000000</v>
      </c>
      <c r="M86" s="187">
        <f t="shared" si="24"/>
        <v>2000000</v>
      </c>
      <c r="N86" s="187">
        <f t="shared" si="24"/>
        <v>2000000</v>
      </c>
      <c r="O86" s="242">
        <f t="shared" si="24"/>
        <v>2000000</v>
      </c>
      <c r="P86" s="137"/>
      <c r="Q86" s="137"/>
      <c r="R86" s="1"/>
      <c r="S86" s="1"/>
      <c r="T86" s="1"/>
    </row>
    <row r="87" spans="3:20" ht="15">
      <c r="C87" s="189" t="s">
        <v>23</v>
      </c>
      <c r="D87" s="241">
        <f>' Summary'!C42</f>
        <v>500000</v>
      </c>
      <c r="E87" s="187">
        <f aca="true" t="shared" si="25" ref="E87:O87">$D87+E45</f>
        <v>500000</v>
      </c>
      <c r="F87" s="187">
        <f t="shared" si="25"/>
        <v>582928.94</v>
      </c>
      <c r="G87" s="187">
        <f t="shared" si="25"/>
        <v>582928.94</v>
      </c>
      <c r="H87" s="187">
        <f t="shared" si="25"/>
        <v>582928.94</v>
      </c>
      <c r="I87" s="187">
        <f t="shared" si="25"/>
        <v>582928.94</v>
      </c>
      <c r="J87" s="187">
        <f t="shared" si="25"/>
        <v>582928.94</v>
      </c>
      <c r="K87" s="187">
        <f t="shared" si="25"/>
        <v>500000</v>
      </c>
      <c r="L87" s="187">
        <f t="shared" si="25"/>
        <v>500000</v>
      </c>
      <c r="M87" s="187">
        <f t="shared" si="25"/>
        <v>500000</v>
      </c>
      <c r="N87" s="187">
        <f t="shared" si="25"/>
        <v>500000</v>
      </c>
      <c r="O87" s="242">
        <f t="shared" si="25"/>
        <v>500000</v>
      </c>
      <c r="P87" s="137"/>
      <c r="Q87" s="137"/>
      <c r="R87" s="1"/>
      <c r="S87" s="1"/>
      <c r="T87" s="1"/>
    </row>
    <row r="88" spans="3:20" ht="15">
      <c r="C88" s="189" t="s">
        <v>185</v>
      </c>
      <c r="D88" s="241">
        <f>' Summary'!C43</f>
        <v>500000</v>
      </c>
      <c r="E88" s="187">
        <f>$D88</f>
        <v>500000</v>
      </c>
      <c r="F88" s="187">
        <f aca="true" t="shared" si="26" ref="F88:O88">$D88</f>
        <v>500000</v>
      </c>
      <c r="G88" s="187">
        <f t="shared" si="26"/>
        <v>500000</v>
      </c>
      <c r="H88" s="187">
        <f t="shared" si="26"/>
        <v>500000</v>
      </c>
      <c r="I88" s="187">
        <f t="shared" si="26"/>
        <v>500000</v>
      </c>
      <c r="J88" s="187">
        <f t="shared" si="26"/>
        <v>500000</v>
      </c>
      <c r="K88" s="187">
        <f t="shared" si="26"/>
        <v>500000</v>
      </c>
      <c r="L88" s="187">
        <f t="shared" si="26"/>
        <v>500000</v>
      </c>
      <c r="M88" s="187">
        <f t="shared" si="26"/>
        <v>500000</v>
      </c>
      <c r="N88" s="187">
        <f t="shared" si="26"/>
        <v>500000</v>
      </c>
      <c r="O88" s="242">
        <f t="shared" si="26"/>
        <v>500000</v>
      </c>
      <c r="P88" s="137"/>
      <c r="Q88" s="137"/>
      <c r="R88" s="1"/>
      <c r="S88" s="1"/>
      <c r="T88" s="1"/>
    </row>
    <row r="89" spans="3:20" ht="15">
      <c r="C89" s="190" t="s">
        <v>164</v>
      </c>
      <c r="D89" s="243">
        <f>D85-D86-D87-D88</f>
        <v>2000000</v>
      </c>
      <c r="E89" s="243">
        <f aca="true" t="shared" si="27" ref="E89:O89">E85-E86-E87-E88</f>
        <v>2000000</v>
      </c>
      <c r="F89" s="243">
        <f t="shared" si="27"/>
        <v>2022071.06</v>
      </c>
      <c r="G89" s="243">
        <f t="shared" si="27"/>
        <v>2022071.06</v>
      </c>
      <c r="H89" s="243">
        <f t="shared" si="27"/>
        <v>2022071.06</v>
      </c>
      <c r="I89" s="243">
        <f t="shared" si="27"/>
        <v>2022071.06</v>
      </c>
      <c r="J89" s="243">
        <f t="shared" si="27"/>
        <v>2022071.06</v>
      </c>
      <c r="K89" s="243">
        <f t="shared" si="27"/>
        <v>2000000</v>
      </c>
      <c r="L89" s="243">
        <f t="shared" si="27"/>
        <v>2000000</v>
      </c>
      <c r="M89" s="243">
        <f t="shared" si="27"/>
        <v>2000000</v>
      </c>
      <c r="N89" s="243">
        <f t="shared" si="27"/>
        <v>2000000</v>
      </c>
      <c r="O89" s="244">
        <f t="shared" si="27"/>
        <v>2000000</v>
      </c>
      <c r="P89" s="137"/>
      <c r="Q89" s="137"/>
      <c r="R89" s="1"/>
      <c r="S89" s="1"/>
      <c r="T89" s="1"/>
    </row>
    <row r="90" spans="3:20" ht="15">
      <c r="C90" s="189" t="s">
        <v>207</v>
      </c>
      <c r="D90" s="241">
        <f>' Summary'!C41</f>
        <v>500000</v>
      </c>
      <c r="E90" s="187">
        <f aca="true" t="shared" si="28" ref="E90:O90">$D90+E44</f>
        <v>500000</v>
      </c>
      <c r="F90" s="187">
        <f t="shared" si="28"/>
        <v>500000</v>
      </c>
      <c r="G90" s="187">
        <f t="shared" si="28"/>
        <v>500000</v>
      </c>
      <c r="H90" s="187">
        <f t="shared" si="28"/>
        <v>500000</v>
      </c>
      <c r="I90" s="187">
        <f t="shared" si="28"/>
        <v>500000</v>
      </c>
      <c r="J90" s="187">
        <f t="shared" si="28"/>
        <v>500000</v>
      </c>
      <c r="K90" s="187">
        <f t="shared" si="28"/>
        <v>500000</v>
      </c>
      <c r="L90" s="187">
        <f t="shared" si="28"/>
        <v>500000</v>
      </c>
      <c r="M90" s="187">
        <f t="shared" si="28"/>
        <v>500000</v>
      </c>
      <c r="N90" s="187">
        <f t="shared" si="28"/>
        <v>500000</v>
      </c>
      <c r="O90" s="242">
        <f t="shared" si="28"/>
        <v>500000</v>
      </c>
      <c r="P90" s="137"/>
      <c r="Q90" s="137"/>
      <c r="R90" s="1"/>
      <c r="S90" s="1"/>
      <c r="T90" s="1"/>
    </row>
    <row r="91" spans="3:20" ht="15">
      <c r="C91" s="191" t="s">
        <v>249</v>
      </c>
      <c r="D91" s="243">
        <f aca="true" t="shared" si="29" ref="D91:O91">D89-D90</f>
        <v>1500000</v>
      </c>
      <c r="E91" s="243">
        <f t="shared" si="29"/>
        <v>1500000</v>
      </c>
      <c r="F91" s="243">
        <f t="shared" si="29"/>
        <v>1522071.06</v>
      </c>
      <c r="G91" s="243">
        <f t="shared" si="29"/>
        <v>1522071.06</v>
      </c>
      <c r="H91" s="243">
        <f t="shared" si="29"/>
        <v>1522071.06</v>
      </c>
      <c r="I91" s="243">
        <f t="shared" si="29"/>
        <v>1522071.06</v>
      </c>
      <c r="J91" s="243">
        <f t="shared" si="29"/>
        <v>1522071.06</v>
      </c>
      <c r="K91" s="243">
        <f t="shared" si="29"/>
        <v>1500000</v>
      </c>
      <c r="L91" s="243">
        <f t="shared" si="29"/>
        <v>1500000</v>
      </c>
      <c r="M91" s="243">
        <f t="shared" si="29"/>
        <v>1500000</v>
      </c>
      <c r="N91" s="243">
        <f t="shared" si="29"/>
        <v>1500000</v>
      </c>
      <c r="O91" s="244">
        <f t="shared" si="29"/>
        <v>1500000</v>
      </c>
      <c r="P91" s="137"/>
      <c r="Q91" s="137"/>
      <c r="R91" s="1"/>
      <c r="S91" s="1"/>
      <c r="T91" s="1"/>
    </row>
    <row r="92" spans="3:20" ht="15">
      <c r="C92" s="189" t="s">
        <v>163</v>
      </c>
      <c r="D92" s="241">
        <f>D91*' Summary'!J21</f>
        <v>510000.00000000006</v>
      </c>
      <c r="E92" s="187">
        <f aca="true" t="shared" si="30" ref="E92:O92">$D92+E52</f>
        <v>510000.00000000006</v>
      </c>
      <c r="F92" s="187">
        <f t="shared" si="30"/>
        <v>511564.36040000006</v>
      </c>
      <c r="G92" s="187">
        <f t="shared" si="30"/>
        <v>517504.16040000005</v>
      </c>
      <c r="H92" s="187">
        <f t="shared" si="30"/>
        <v>517504.16040000005</v>
      </c>
      <c r="I92" s="187">
        <f t="shared" si="30"/>
        <v>517504.16040000005</v>
      </c>
      <c r="J92" s="187">
        <f t="shared" si="30"/>
        <v>517504.16040000005</v>
      </c>
      <c r="K92" s="187">
        <f t="shared" si="30"/>
        <v>510000.00000000006</v>
      </c>
      <c r="L92" s="187">
        <f t="shared" si="30"/>
        <v>510000.00000000006</v>
      </c>
      <c r="M92" s="187">
        <f t="shared" si="30"/>
        <v>510000.00000000006</v>
      </c>
      <c r="N92" s="187">
        <f t="shared" si="30"/>
        <v>510000.00000000006</v>
      </c>
      <c r="O92" s="242">
        <f t="shared" si="30"/>
        <v>510000.00000000006</v>
      </c>
      <c r="P92" s="137"/>
      <c r="Q92" s="137"/>
      <c r="R92" s="1"/>
      <c r="S92" s="1"/>
      <c r="T92" s="1"/>
    </row>
    <row r="93" spans="3:20" ht="15.75" thickBot="1">
      <c r="C93" s="190" t="s">
        <v>146</v>
      </c>
      <c r="D93" s="243">
        <f aca="true" t="shared" si="31" ref="D93:O93">D91-D92</f>
        <v>990000</v>
      </c>
      <c r="E93" s="243">
        <f t="shared" si="31"/>
        <v>990000</v>
      </c>
      <c r="F93" s="243">
        <f t="shared" si="31"/>
        <v>1010506.6995999999</v>
      </c>
      <c r="G93" s="243">
        <f t="shared" si="31"/>
        <v>1004566.8996</v>
      </c>
      <c r="H93" s="243">
        <f t="shared" si="31"/>
        <v>1004566.8996</v>
      </c>
      <c r="I93" s="243">
        <f t="shared" si="31"/>
        <v>1004566.8996</v>
      </c>
      <c r="J93" s="243">
        <f t="shared" si="31"/>
        <v>1004566.8996</v>
      </c>
      <c r="K93" s="243">
        <f t="shared" si="31"/>
        <v>990000</v>
      </c>
      <c r="L93" s="243">
        <f t="shared" si="31"/>
        <v>990000</v>
      </c>
      <c r="M93" s="243">
        <f t="shared" si="31"/>
        <v>990000</v>
      </c>
      <c r="N93" s="243">
        <f t="shared" si="31"/>
        <v>990000</v>
      </c>
      <c r="O93" s="244">
        <f t="shared" si="31"/>
        <v>990000</v>
      </c>
      <c r="P93" s="137"/>
      <c r="Q93" s="137"/>
      <c r="R93" s="1"/>
      <c r="S93" s="1"/>
      <c r="T93" s="1"/>
    </row>
    <row r="94" spans="3:20" ht="15.75" thickBot="1">
      <c r="C94" s="256"/>
      <c r="D94" s="257"/>
      <c r="E94" s="258"/>
      <c r="F94" s="259"/>
      <c r="G94" s="259"/>
      <c r="H94" s="259"/>
      <c r="I94" s="259"/>
      <c r="J94" s="259"/>
      <c r="K94" s="259"/>
      <c r="L94" s="259"/>
      <c r="M94" s="259"/>
      <c r="N94" s="259"/>
      <c r="O94" s="260"/>
      <c r="P94" s="137"/>
      <c r="Q94" s="137"/>
      <c r="R94" s="1"/>
      <c r="S94" s="1"/>
      <c r="T94" s="1"/>
    </row>
    <row r="95" spans="3:20" ht="15">
      <c r="C95" s="251" t="s">
        <v>155</v>
      </c>
      <c r="D95" s="207"/>
      <c r="E95" s="187"/>
      <c r="F95" s="133"/>
      <c r="G95" s="133"/>
      <c r="H95" s="133"/>
      <c r="I95" s="133"/>
      <c r="J95" s="133"/>
      <c r="K95" s="133"/>
      <c r="L95" s="133"/>
      <c r="M95" s="133"/>
      <c r="N95" s="133"/>
      <c r="O95" s="217"/>
      <c r="P95" s="137"/>
      <c r="Q95" s="137"/>
      <c r="R95" s="1"/>
      <c r="S95" s="1"/>
      <c r="T95" s="1"/>
    </row>
    <row r="96" spans="3:20" ht="15">
      <c r="C96" s="192" t="s">
        <v>159</v>
      </c>
      <c r="D96" s="243">
        <f aca="true" t="shared" si="32" ref="D96:O96">D97+D98+D99</f>
        <v>23990000</v>
      </c>
      <c r="E96" s="243">
        <f t="shared" si="32"/>
        <v>31480000</v>
      </c>
      <c r="F96" s="243">
        <f t="shared" si="32"/>
        <v>38990506.699599996</v>
      </c>
      <c r="G96" s="243">
        <f t="shared" si="32"/>
        <v>46495073.5992</v>
      </c>
      <c r="H96" s="243">
        <f t="shared" si="32"/>
        <v>53999640.4988</v>
      </c>
      <c r="I96" s="243">
        <f t="shared" si="32"/>
        <v>61504207.398399994</v>
      </c>
      <c r="J96" s="243">
        <f t="shared" si="32"/>
        <v>69008774.298</v>
      </c>
      <c r="K96" s="243">
        <f t="shared" si="32"/>
        <v>76498774.298</v>
      </c>
      <c r="L96" s="243">
        <f t="shared" si="32"/>
        <v>83988774.298</v>
      </c>
      <c r="M96" s="243">
        <f t="shared" si="32"/>
        <v>91478774.298</v>
      </c>
      <c r="N96" s="243">
        <f t="shared" si="32"/>
        <v>98968774.298</v>
      </c>
      <c r="O96" s="244">
        <f t="shared" si="32"/>
        <v>106458774.298</v>
      </c>
      <c r="P96" s="137"/>
      <c r="Q96" s="137"/>
      <c r="R96" s="1"/>
      <c r="S96" s="1"/>
      <c r="T96" s="1"/>
    </row>
    <row r="97" spans="3:17" ht="15">
      <c r="C97" s="193" t="s">
        <v>165</v>
      </c>
      <c r="D97" s="241">
        <f>' Summary'!C45</f>
        <v>10000000</v>
      </c>
      <c r="E97" s="194">
        <f>$D97+Debt!B67</f>
        <v>10414644.7</v>
      </c>
      <c r="F97" s="194">
        <f>$D97+Debt!C67</f>
        <v>10331715.76</v>
      </c>
      <c r="G97" s="194">
        <f>$D97+Debt!D67</f>
        <v>10248786.82</v>
      </c>
      <c r="H97" s="194">
        <f>$D97+Debt!E67</f>
        <v>10165857.88</v>
      </c>
      <c r="I97" s="194">
        <f>$D97+Debt!F67</f>
        <v>10082928.94</v>
      </c>
      <c r="J97" s="194">
        <f>$D97+Debt!G67</f>
        <v>10000000</v>
      </c>
      <c r="K97" s="194">
        <f>$D97+Debt!H67</f>
        <v>10000000</v>
      </c>
      <c r="L97" s="194">
        <f>$D97+Debt!I67</f>
        <v>10000000</v>
      </c>
      <c r="M97" s="194">
        <f>$D97+Debt!J67</f>
        <v>10000000</v>
      </c>
      <c r="N97" s="194">
        <f>$D97+Debt!K67</f>
        <v>10000000</v>
      </c>
      <c r="O97" s="245">
        <f>$D97+Debt!L67</f>
        <v>10000000</v>
      </c>
      <c r="P97" s="19"/>
      <c r="Q97" s="17"/>
    </row>
    <row r="98" spans="3:17" ht="15">
      <c r="C98" s="193" t="s">
        <v>172</v>
      </c>
      <c r="D98" s="241">
        <f>D117</f>
        <v>12990000</v>
      </c>
      <c r="E98" s="241">
        <f>E117</f>
        <v>20065355.3</v>
      </c>
      <c r="F98" s="241">
        <f aca="true" t="shared" si="33" ref="F98:O98">F117</f>
        <v>27658790.9396</v>
      </c>
      <c r="G98" s="241">
        <f t="shared" si="33"/>
        <v>35246286.7792</v>
      </c>
      <c r="H98" s="241">
        <f t="shared" si="33"/>
        <v>42833782.6188</v>
      </c>
      <c r="I98" s="241">
        <f t="shared" si="33"/>
        <v>50421278.458399996</v>
      </c>
      <c r="J98" s="241">
        <f t="shared" si="33"/>
        <v>58008774.29799999</v>
      </c>
      <c r="K98" s="241">
        <f t="shared" si="33"/>
        <v>65498774.29799999</v>
      </c>
      <c r="L98" s="241">
        <f t="shared" si="33"/>
        <v>72988774.298</v>
      </c>
      <c r="M98" s="241">
        <f t="shared" si="33"/>
        <v>80478774.298</v>
      </c>
      <c r="N98" s="241">
        <f t="shared" si="33"/>
        <v>87968774.298</v>
      </c>
      <c r="O98" s="246">
        <f t="shared" si="33"/>
        <v>95458774.298</v>
      </c>
      <c r="P98" s="19"/>
      <c r="Q98" s="17"/>
    </row>
    <row r="99" spans="3:17" ht="15">
      <c r="C99" s="193" t="s">
        <v>171</v>
      </c>
      <c r="D99" s="241">
        <f>' Summary'!C46</f>
        <v>1000000</v>
      </c>
      <c r="E99" s="194">
        <f>D99</f>
        <v>1000000</v>
      </c>
      <c r="F99" s="194">
        <f aca="true" t="shared" si="34" ref="F99:O99">E99</f>
        <v>1000000</v>
      </c>
      <c r="G99" s="194">
        <f t="shared" si="34"/>
        <v>1000000</v>
      </c>
      <c r="H99" s="194">
        <f t="shared" si="34"/>
        <v>1000000</v>
      </c>
      <c r="I99" s="194">
        <f t="shared" si="34"/>
        <v>1000000</v>
      </c>
      <c r="J99" s="194">
        <f t="shared" si="34"/>
        <v>1000000</v>
      </c>
      <c r="K99" s="194">
        <f t="shared" si="34"/>
        <v>1000000</v>
      </c>
      <c r="L99" s="194">
        <f t="shared" si="34"/>
        <v>1000000</v>
      </c>
      <c r="M99" s="194">
        <f t="shared" si="34"/>
        <v>1000000</v>
      </c>
      <c r="N99" s="194">
        <f t="shared" si="34"/>
        <v>1000000</v>
      </c>
      <c r="O99" s="245">
        <f t="shared" si="34"/>
        <v>1000000</v>
      </c>
      <c r="P99" s="19"/>
      <c r="Q99" s="17"/>
    </row>
    <row r="100" spans="3:17" ht="15">
      <c r="C100" s="192" t="s">
        <v>160</v>
      </c>
      <c r="D100" s="243">
        <f aca="true" t="shared" si="35" ref="D100:O100">D101+D102</f>
        <v>7000000</v>
      </c>
      <c r="E100" s="243">
        <f t="shared" si="35"/>
        <v>7000000</v>
      </c>
      <c r="F100" s="243">
        <f t="shared" si="35"/>
        <v>7000000</v>
      </c>
      <c r="G100" s="243">
        <f t="shared" si="35"/>
        <v>7000000</v>
      </c>
      <c r="H100" s="243">
        <f t="shared" si="35"/>
        <v>7000000</v>
      </c>
      <c r="I100" s="243">
        <f t="shared" si="35"/>
        <v>7000000</v>
      </c>
      <c r="J100" s="243">
        <f t="shared" si="35"/>
        <v>7000000</v>
      </c>
      <c r="K100" s="243">
        <f t="shared" si="35"/>
        <v>7000000</v>
      </c>
      <c r="L100" s="243">
        <f t="shared" si="35"/>
        <v>7000000</v>
      </c>
      <c r="M100" s="243">
        <f t="shared" si="35"/>
        <v>7000000</v>
      </c>
      <c r="N100" s="243">
        <f t="shared" si="35"/>
        <v>7000000</v>
      </c>
      <c r="O100" s="244">
        <f t="shared" si="35"/>
        <v>7000000</v>
      </c>
      <c r="P100" s="19"/>
      <c r="Q100" s="17"/>
    </row>
    <row r="101" spans="3:17" ht="15">
      <c r="C101" s="193" t="s">
        <v>154</v>
      </c>
      <c r="D101" s="241">
        <f>' Summary'!C47</f>
        <v>5000000</v>
      </c>
      <c r="E101" s="194">
        <f>$D101+Debt!B31</f>
        <v>5000000</v>
      </c>
      <c r="F101" s="194">
        <f>$D101+Debt!C31</f>
        <v>5000000</v>
      </c>
      <c r="G101" s="194">
        <f>$D101+Debt!D31</f>
        <v>5000000</v>
      </c>
      <c r="H101" s="194">
        <f>$D101+Debt!E31</f>
        <v>5000000</v>
      </c>
      <c r="I101" s="194">
        <f>$D101+Debt!F31</f>
        <v>5000000</v>
      </c>
      <c r="J101" s="194">
        <f>$D101+Debt!G31</f>
        <v>5000000</v>
      </c>
      <c r="K101" s="194">
        <f>$D101+Debt!H31</f>
        <v>5000000</v>
      </c>
      <c r="L101" s="194">
        <f>$D101+Debt!I31</f>
        <v>5000000</v>
      </c>
      <c r="M101" s="194">
        <f>$D101+Debt!J31</f>
        <v>5000000</v>
      </c>
      <c r="N101" s="194">
        <f>$D101+Debt!K31</f>
        <v>5000000</v>
      </c>
      <c r="O101" s="245">
        <f>$D101+Debt!L31</f>
        <v>5000000</v>
      </c>
      <c r="P101" s="19"/>
      <c r="Q101" s="17"/>
    </row>
    <row r="102" spans="3:17" ht="15">
      <c r="C102" s="193" t="s">
        <v>158</v>
      </c>
      <c r="D102" s="241">
        <f>' Summary'!C48</f>
        <v>2000000</v>
      </c>
      <c r="E102" s="194">
        <f aca="true" t="shared" si="36" ref="E102:O102">$D102+E66</f>
        <v>2000000</v>
      </c>
      <c r="F102" s="194">
        <f t="shared" si="36"/>
        <v>2000000</v>
      </c>
      <c r="G102" s="194">
        <f t="shared" si="36"/>
        <v>2000000</v>
      </c>
      <c r="H102" s="194">
        <f t="shared" si="36"/>
        <v>2000000</v>
      </c>
      <c r="I102" s="194">
        <f t="shared" si="36"/>
        <v>2000000</v>
      </c>
      <c r="J102" s="194">
        <f t="shared" si="36"/>
        <v>2000000</v>
      </c>
      <c r="K102" s="194">
        <f t="shared" si="36"/>
        <v>2000000</v>
      </c>
      <c r="L102" s="194">
        <f t="shared" si="36"/>
        <v>2000000</v>
      </c>
      <c r="M102" s="194">
        <f t="shared" si="36"/>
        <v>2000000</v>
      </c>
      <c r="N102" s="194">
        <f t="shared" si="36"/>
        <v>2000000</v>
      </c>
      <c r="O102" s="245">
        <f t="shared" si="36"/>
        <v>2000000</v>
      </c>
      <c r="P102" s="19"/>
      <c r="Q102" s="17"/>
    </row>
    <row r="103" spans="3:17" ht="15">
      <c r="C103" s="192" t="s">
        <v>161</v>
      </c>
      <c r="D103" s="243">
        <f>D96-D100</f>
        <v>16990000</v>
      </c>
      <c r="E103" s="243">
        <f>E96-E100</f>
        <v>24480000</v>
      </c>
      <c r="F103" s="243">
        <f aca="true" t="shared" si="37" ref="F103:O103">F96-F100</f>
        <v>31990506.699599996</v>
      </c>
      <c r="G103" s="243">
        <f t="shared" si="37"/>
        <v>39495073.5992</v>
      </c>
      <c r="H103" s="243">
        <f t="shared" si="37"/>
        <v>46999640.4988</v>
      </c>
      <c r="I103" s="243">
        <f t="shared" si="37"/>
        <v>54504207.398399994</v>
      </c>
      <c r="J103" s="243">
        <f t="shared" si="37"/>
        <v>62008774.29799999</v>
      </c>
      <c r="K103" s="243">
        <f t="shared" si="37"/>
        <v>69498774.298</v>
      </c>
      <c r="L103" s="243">
        <f t="shared" si="37"/>
        <v>76988774.298</v>
      </c>
      <c r="M103" s="243">
        <f t="shared" si="37"/>
        <v>84478774.298</v>
      </c>
      <c r="N103" s="243">
        <f t="shared" si="37"/>
        <v>91968774.298</v>
      </c>
      <c r="O103" s="244">
        <f t="shared" si="37"/>
        <v>99458774.298</v>
      </c>
      <c r="P103" s="19"/>
      <c r="Q103" s="17"/>
    </row>
    <row r="104" spans="3:17" ht="15.75" thickBot="1">
      <c r="C104" s="195" t="s">
        <v>166</v>
      </c>
      <c r="D104" s="261">
        <f aca="true" t="shared" si="38" ref="D104:O104">D100+D103</f>
        <v>23990000</v>
      </c>
      <c r="E104" s="261">
        <f t="shared" si="38"/>
        <v>31480000</v>
      </c>
      <c r="F104" s="261">
        <f t="shared" si="38"/>
        <v>38990506.699599996</v>
      </c>
      <c r="G104" s="261">
        <f t="shared" si="38"/>
        <v>46495073.5992</v>
      </c>
      <c r="H104" s="261">
        <f t="shared" si="38"/>
        <v>53999640.4988</v>
      </c>
      <c r="I104" s="261">
        <f t="shared" si="38"/>
        <v>61504207.398399994</v>
      </c>
      <c r="J104" s="261">
        <f t="shared" si="38"/>
        <v>69008774.298</v>
      </c>
      <c r="K104" s="261">
        <f t="shared" si="38"/>
        <v>76498774.298</v>
      </c>
      <c r="L104" s="261">
        <f t="shared" si="38"/>
        <v>83988774.298</v>
      </c>
      <c r="M104" s="261">
        <f t="shared" si="38"/>
        <v>91478774.298</v>
      </c>
      <c r="N104" s="261">
        <f t="shared" si="38"/>
        <v>98968774.298</v>
      </c>
      <c r="O104" s="262">
        <f t="shared" si="38"/>
        <v>106458774.298</v>
      </c>
      <c r="P104" s="19"/>
      <c r="Q104" s="17"/>
    </row>
    <row r="105" spans="3:17" ht="15.75" thickBot="1">
      <c r="C105" s="256"/>
      <c r="D105" s="257"/>
      <c r="E105" s="263"/>
      <c r="F105" s="264"/>
      <c r="G105" s="264"/>
      <c r="H105" s="264"/>
      <c r="I105" s="264"/>
      <c r="J105" s="264"/>
      <c r="K105" s="264"/>
      <c r="L105" s="264"/>
      <c r="M105" s="264"/>
      <c r="N105" s="264"/>
      <c r="O105" s="265"/>
      <c r="P105" s="19"/>
      <c r="Q105" s="17"/>
    </row>
    <row r="106" spans="3:17" ht="15">
      <c r="C106" s="251" t="s">
        <v>175</v>
      </c>
      <c r="D106" s="240"/>
      <c r="E106" s="194"/>
      <c r="F106" s="196"/>
      <c r="G106" s="196"/>
      <c r="H106" s="196"/>
      <c r="I106" s="196"/>
      <c r="J106" s="196"/>
      <c r="K106" s="196"/>
      <c r="L106" s="196"/>
      <c r="M106" s="196"/>
      <c r="N106" s="196"/>
      <c r="O106" s="247"/>
      <c r="P106" s="19"/>
      <c r="Q106" s="17"/>
    </row>
    <row r="107" spans="3:17" ht="15">
      <c r="C107" s="197" t="s">
        <v>167</v>
      </c>
      <c r="D107" s="243">
        <f>D108+D109+D110</f>
        <v>6490000</v>
      </c>
      <c r="E107" s="243">
        <f>E108+E109+E110</f>
        <v>6490000</v>
      </c>
      <c r="F107" s="243">
        <f aca="true" t="shared" si="39" ref="F107:O107">F108+F109+F110</f>
        <v>6593435.639599999</v>
      </c>
      <c r="G107" s="243">
        <f t="shared" si="39"/>
        <v>6587495.8396000005</v>
      </c>
      <c r="H107" s="243">
        <f t="shared" si="39"/>
        <v>6587495.8396000005</v>
      </c>
      <c r="I107" s="243">
        <f t="shared" si="39"/>
        <v>6587495.8396000005</v>
      </c>
      <c r="J107" s="243">
        <f t="shared" si="39"/>
        <v>6587495.8396000005</v>
      </c>
      <c r="K107" s="243">
        <f t="shared" si="39"/>
        <v>6490000</v>
      </c>
      <c r="L107" s="243">
        <f t="shared" si="39"/>
        <v>6490000</v>
      </c>
      <c r="M107" s="243">
        <f t="shared" si="39"/>
        <v>6490000</v>
      </c>
      <c r="N107" s="243">
        <f t="shared" si="39"/>
        <v>6490000</v>
      </c>
      <c r="O107" s="244">
        <f t="shared" si="39"/>
        <v>6490000</v>
      </c>
      <c r="P107" s="17"/>
      <c r="Q107" s="17"/>
    </row>
    <row r="108" spans="3:17" ht="15">
      <c r="C108" s="198" t="s">
        <v>168</v>
      </c>
      <c r="D108" s="241">
        <f>D93</f>
        <v>990000</v>
      </c>
      <c r="E108" s="241">
        <f>E93</f>
        <v>990000</v>
      </c>
      <c r="F108" s="241">
        <f aca="true" t="shared" si="40" ref="F108:O108">F93</f>
        <v>1010506.6995999999</v>
      </c>
      <c r="G108" s="241">
        <f t="shared" si="40"/>
        <v>1004566.8996</v>
      </c>
      <c r="H108" s="241">
        <f t="shared" si="40"/>
        <v>1004566.8996</v>
      </c>
      <c r="I108" s="241">
        <f t="shared" si="40"/>
        <v>1004566.8996</v>
      </c>
      <c r="J108" s="241">
        <f t="shared" si="40"/>
        <v>1004566.8996</v>
      </c>
      <c r="K108" s="241">
        <f t="shared" si="40"/>
        <v>990000</v>
      </c>
      <c r="L108" s="241">
        <f t="shared" si="40"/>
        <v>990000</v>
      </c>
      <c r="M108" s="241">
        <f t="shared" si="40"/>
        <v>990000</v>
      </c>
      <c r="N108" s="241">
        <f t="shared" si="40"/>
        <v>990000</v>
      </c>
      <c r="O108" s="246">
        <f t="shared" si="40"/>
        <v>990000</v>
      </c>
      <c r="P108" s="17"/>
      <c r="Q108" s="17"/>
    </row>
    <row r="109" spans="3:17" ht="15">
      <c r="C109" s="198" t="s">
        <v>252</v>
      </c>
      <c r="D109" s="241">
        <f aca="true" t="shared" si="41" ref="D109:O109">D87</f>
        <v>500000</v>
      </c>
      <c r="E109" s="241">
        <f t="shared" si="41"/>
        <v>500000</v>
      </c>
      <c r="F109" s="241">
        <f t="shared" si="41"/>
        <v>582928.94</v>
      </c>
      <c r="G109" s="241">
        <f t="shared" si="41"/>
        <v>582928.94</v>
      </c>
      <c r="H109" s="241">
        <f t="shared" si="41"/>
        <v>582928.94</v>
      </c>
      <c r="I109" s="241">
        <f t="shared" si="41"/>
        <v>582928.94</v>
      </c>
      <c r="J109" s="241">
        <f t="shared" si="41"/>
        <v>582928.94</v>
      </c>
      <c r="K109" s="241">
        <f t="shared" si="41"/>
        <v>500000</v>
      </c>
      <c r="L109" s="241">
        <f t="shared" si="41"/>
        <v>500000</v>
      </c>
      <c r="M109" s="241">
        <f t="shared" si="41"/>
        <v>500000</v>
      </c>
      <c r="N109" s="241">
        <f t="shared" si="41"/>
        <v>500000</v>
      </c>
      <c r="O109" s="246">
        <f t="shared" si="41"/>
        <v>500000</v>
      </c>
      <c r="P109" s="17"/>
      <c r="Q109" s="17"/>
    </row>
    <row r="110" spans="3:17" ht="15">
      <c r="C110" s="198" t="s">
        <v>38</v>
      </c>
      <c r="D110" s="241">
        <f>' Summary'!C50</f>
        <v>5000000</v>
      </c>
      <c r="E110" s="241">
        <f>$D110</f>
        <v>5000000</v>
      </c>
      <c r="F110" s="241">
        <f aca="true" t="shared" si="42" ref="F110:O110">$D110</f>
        <v>5000000</v>
      </c>
      <c r="G110" s="241">
        <f t="shared" si="42"/>
        <v>5000000</v>
      </c>
      <c r="H110" s="241">
        <f t="shared" si="42"/>
        <v>5000000</v>
      </c>
      <c r="I110" s="241">
        <f t="shared" si="42"/>
        <v>5000000</v>
      </c>
      <c r="J110" s="241">
        <f t="shared" si="42"/>
        <v>5000000</v>
      </c>
      <c r="K110" s="241">
        <f t="shared" si="42"/>
        <v>5000000</v>
      </c>
      <c r="L110" s="241">
        <f t="shared" si="42"/>
        <v>5000000</v>
      </c>
      <c r="M110" s="241">
        <f t="shared" si="42"/>
        <v>5000000</v>
      </c>
      <c r="N110" s="241">
        <f t="shared" si="42"/>
        <v>5000000</v>
      </c>
      <c r="O110" s="246">
        <f t="shared" si="42"/>
        <v>5000000</v>
      </c>
      <c r="P110" s="17"/>
      <c r="Q110" s="17"/>
    </row>
    <row r="111" spans="3:56" ht="15">
      <c r="C111" s="197" t="s">
        <v>169</v>
      </c>
      <c r="D111" s="243">
        <f>' Summary'!C51</f>
        <v>2000000</v>
      </c>
      <c r="E111" s="241">
        <f aca="true" t="shared" si="43" ref="E111:O111">E64</f>
        <v>-414644.7</v>
      </c>
      <c r="F111" s="241">
        <f t="shared" si="43"/>
        <v>0</v>
      </c>
      <c r="G111" s="241">
        <f t="shared" si="43"/>
        <v>0</v>
      </c>
      <c r="H111" s="241">
        <f t="shared" si="43"/>
        <v>0</v>
      </c>
      <c r="I111" s="241">
        <f t="shared" si="43"/>
        <v>0</v>
      </c>
      <c r="J111" s="241">
        <f t="shared" si="43"/>
        <v>0</v>
      </c>
      <c r="K111" s="241">
        <f t="shared" si="43"/>
        <v>0</v>
      </c>
      <c r="L111" s="241">
        <f t="shared" si="43"/>
        <v>0</v>
      </c>
      <c r="M111" s="241">
        <f t="shared" si="43"/>
        <v>0</v>
      </c>
      <c r="N111" s="241">
        <f t="shared" si="43"/>
        <v>0</v>
      </c>
      <c r="O111" s="246">
        <f t="shared" si="43"/>
        <v>0</v>
      </c>
      <c r="P111" s="17"/>
      <c r="Q111" s="17"/>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row>
    <row r="112" spans="3:56" ht="15">
      <c r="C112" s="197" t="s">
        <v>170</v>
      </c>
      <c r="D112" s="243">
        <f>D113+D114</f>
        <v>1500000</v>
      </c>
      <c r="E112" s="243">
        <f aca="true" t="shared" si="44" ref="E112:O112">E113+E114</f>
        <v>1000000</v>
      </c>
      <c r="F112" s="243">
        <f t="shared" si="44"/>
        <v>1000000</v>
      </c>
      <c r="G112" s="243">
        <f t="shared" si="44"/>
        <v>1000000</v>
      </c>
      <c r="H112" s="243">
        <f t="shared" si="44"/>
        <v>1000000</v>
      </c>
      <c r="I112" s="243">
        <f t="shared" si="44"/>
        <v>1000000</v>
      </c>
      <c r="J112" s="243">
        <f t="shared" si="44"/>
        <v>1000000</v>
      </c>
      <c r="K112" s="243">
        <f t="shared" si="44"/>
        <v>1000000</v>
      </c>
      <c r="L112" s="243">
        <f t="shared" si="44"/>
        <v>1000000</v>
      </c>
      <c r="M112" s="243">
        <f t="shared" si="44"/>
        <v>1000000</v>
      </c>
      <c r="N112" s="243">
        <f t="shared" si="44"/>
        <v>1000000</v>
      </c>
      <c r="O112" s="244">
        <f t="shared" si="44"/>
        <v>1000000</v>
      </c>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row>
    <row r="113" spans="3:56" ht="15">
      <c r="C113" s="199" t="s">
        <v>173</v>
      </c>
      <c r="D113" s="139">
        <f>' Summary'!C53</f>
        <v>500000</v>
      </c>
      <c r="E113" s="139">
        <f>E66+E67</f>
        <v>0</v>
      </c>
      <c r="F113" s="139">
        <f aca="true" t="shared" si="45" ref="F113:O113">F66+F67</f>
        <v>0</v>
      </c>
      <c r="G113" s="139">
        <f t="shared" si="45"/>
        <v>0</v>
      </c>
      <c r="H113" s="139">
        <f t="shared" si="45"/>
        <v>0</v>
      </c>
      <c r="I113" s="139">
        <f t="shared" si="45"/>
        <v>0</v>
      </c>
      <c r="J113" s="139">
        <f t="shared" si="45"/>
        <v>0</v>
      </c>
      <c r="K113" s="139">
        <f t="shared" si="45"/>
        <v>0</v>
      </c>
      <c r="L113" s="139">
        <f t="shared" si="45"/>
        <v>0</v>
      </c>
      <c r="M113" s="139">
        <f t="shared" si="45"/>
        <v>0</v>
      </c>
      <c r="N113" s="139">
        <f t="shared" si="45"/>
        <v>0</v>
      </c>
      <c r="O113" s="248">
        <f t="shared" si="45"/>
        <v>0</v>
      </c>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row>
    <row r="114" spans="3:56" ht="15">
      <c r="C114" s="199" t="s">
        <v>99</v>
      </c>
      <c r="D114" s="139">
        <f>' Summary'!C54</f>
        <v>1000000</v>
      </c>
      <c r="E114" s="139">
        <f aca="true" t="shared" si="46" ref="E114:O114">$D114+E68+E69</f>
        <v>1000000</v>
      </c>
      <c r="F114" s="139">
        <f t="shared" si="46"/>
        <v>1000000</v>
      </c>
      <c r="G114" s="139">
        <f t="shared" si="46"/>
        <v>1000000</v>
      </c>
      <c r="H114" s="139">
        <f t="shared" si="46"/>
        <v>1000000</v>
      </c>
      <c r="I114" s="139">
        <f t="shared" si="46"/>
        <v>1000000</v>
      </c>
      <c r="J114" s="139">
        <f t="shared" si="46"/>
        <v>1000000</v>
      </c>
      <c r="K114" s="139">
        <f t="shared" si="46"/>
        <v>1000000</v>
      </c>
      <c r="L114" s="139">
        <f t="shared" si="46"/>
        <v>1000000</v>
      </c>
      <c r="M114" s="139">
        <f t="shared" si="46"/>
        <v>1000000</v>
      </c>
      <c r="N114" s="139">
        <f t="shared" si="46"/>
        <v>1000000</v>
      </c>
      <c r="O114" s="248">
        <f t="shared" si="46"/>
        <v>1000000</v>
      </c>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row>
    <row r="115" spans="3:56" ht="15">
      <c r="C115" s="192" t="s">
        <v>147</v>
      </c>
      <c r="D115" s="243">
        <f>D107+D111+D112</f>
        <v>9990000</v>
      </c>
      <c r="E115" s="243">
        <f>E107+E111+E112</f>
        <v>7075355.3</v>
      </c>
      <c r="F115" s="243">
        <f aca="true" t="shared" si="47" ref="F115:O115">F107+F111+F112</f>
        <v>7593435.639599999</v>
      </c>
      <c r="G115" s="243">
        <f t="shared" si="47"/>
        <v>7587495.8396000005</v>
      </c>
      <c r="H115" s="243">
        <f t="shared" si="47"/>
        <v>7587495.8396000005</v>
      </c>
      <c r="I115" s="243">
        <f t="shared" si="47"/>
        <v>7587495.8396000005</v>
      </c>
      <c r="J115" s="243">
        <f t="shared" si="47"/>
        <v>7587495.8396000005</v>
      </c>
      <c r="K115" s="243">
        <f t="shared" si="47"/>
        <v>7490000</v>
      </c>
      <c r="L115" s="243">
        <f t="shared" si="47"/>
        <v>7490000</v>
      </c>
      <c r="M115" s="243">
        <f t="shared" si="47"/>
        <v>7490000</v>
      </c>
      <c r="N115" s="243">
        <f t="shared" si="47"/>
        <v>7490000</v>
      </c>
      <c r="O115" s="244">
        <f t="shared" si="47"/>
        <v>7490000</v>
      </c>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row>
    <row r="116" spans="3:56" ht="15">
      <c r="C116" s="200" t="s">
        <v>174</v>
      </c>
      <c r="D116" s="139">
        <f>' Summary'!C55</f>
        <v>3000000</v>
      </c>
      <c r="E116" s="139">
        <f>D117</f>
        <v>12990000</v>
      </c>
      <c r="F116" s="139">
        <f aca="true" t="shared" si="48" ref="F116:O116">E117</f>
        <v>20065355.3</v>
      </c>
      <c r="G116" s="139">
        <f t="shared" si="48"/>
        <v>27658790.9396</v>
      </c>
      <c r="H116" s="139">
        <f t="shared" si="48"/>
        <v>35246286.7792</v>
      </c>
      <c r="I116" s="139">
        <f t="shared" si="48"/>
        <v>42833782.6188</v>
      </c>
      <c r="J116" s="139">
        <f t="shared" si="48"/>
        <v>50421278.458399996</v>
      </c>
      <c r="K116" s="139">
        <f t="shared" si="48"/>
        <v>58008774.29799999</v>
      </c>
      <c r="L116" s="139">
        <f t="shared" si="48"/>
        <v>65498774.29799999</v>
      </c>
      <c r="M116" s="139">
        <f t="shared" si="48"/>
        <v>72988774.298</v>
      </c>
      <c r="N116" s="139">
        <f t="shared" si="48"/>
        <v>80478774.298</v>
      </c>
      <c r="O116" s="248">
        <f t="shared" si="48"/>
        <v>87968774.298</v>
      </c>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row>
    <row r="117" spans="3:56" ht="15.75" thickBot="1">
      <c r="C117" s="60" t="s">
        <v>202</v>
      </c>
      <c r="D117" s="249">
        <f>D115+D116</f>
        <v>12990000</v>
      </c>
      <c r="E117" s="249">
        <f>E115+E116</f>
        <v>20065355.3</v>
      </c>
      <c r="F117" s="249">
        <f aca="true" t="shared" si="49" ref="F117:O117">F115+F116</f>
        <v>27658790.9396</v>
      </c>
      <c r="G117" s="249">
        <f t="shared" si="49"/>
        <v>35246286.7792</v>
      </c>
      <c r="H117" s="249">
        <f t="shared" si="49"/>
        <v>42833782.6188</v>
      </c>
      <c r="I117" s="249">
        <f t="shared" si="49"/>
        <v>50421278.458399996</v>
      </c>
      <c r="J117" s="249">
        <f t="shared" si="49"/>
        <v>58008774.29799999</v>
      </c>
      <c r="K117" s="249">
        <f t="shared" si="49"/>
        <v>65498774.29799999</v>
      </c>
      <c r="L117" s="249">
        <f t="shared" si="49"/>
        <v>72988774.298</v>
      </c>
      <c r="M117" s="249">
        <f t="shared" si="49"/>
        <v>80478774.298</v>
      </c>
      <c r="N117" s="249">
        <f t="shared" si="49"/>
        <v>87968774.298</v>
      </c>
      <c r="O117" s="250">
        <f t="shared" si="49"/>
        <v>95458774.298</v>
      </c>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row>
    <row r="118" spans="23:56" ht="15">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row>
    <row r="119" spans="3:56" ht="15">
      <c r="C119" t="s">
        <v>387</v>
      </c>
      <c r="D119" s="156">
        <f>D96-D104</f>
        <v>0</v>
      </c>
      <c r="E119" s="156">
        <f aca="true" t="shared" si="50" ref="E119:O119">E96-E104</f>
        <v>0</v>
      </c>
      <c r="F119" s="156">
        <f t="shared" si="50"/>
        <v>0</v>
      </c>
      <c r="G119" s="156">
        <f t="shared" si="50"/>
        <v>0</v>
      </c>
      <c r="H119" s="156">
        <f t="shared" si="50"/>
        <v>0</v>
      </c>
      <c r="I119" s="156">
        <f t="shared" si="50"/>
        <v>0</v>
      </c>
      <c r="J119" s="156">
        <f t="shared" si="50"/>
        <v>0</v>
      </c>
      <c r="K119" s="156">
        <f t="shared" si="50"/>
        <v>0</v>
      </c>
      <c r="L119" s="156">
        <f t="shared" si="50"/>
        <v>0</v>
      </c>
      <c r="M119" s="156">
        <f t="shared" si="50"/>
        <v>0</v>
      </c>
      <c r="N119" s="156">
        <f t="shared" si="50"/>
        <v>0</v>
      </c>
      <c r="O119" s="156">
        <f t="shared" si="50"/>
        <v>0</v>
      </c>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row>
    <row r="120" spans="23:56" ht="15">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row>
    <row r="121" spans="23:56" ht="15">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row>
    <row r="122" spans="23:56" ht="15">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row>
    <row r="123" spans="23:56" ht="15">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row>
    <row r="124" spans="23:56" ht="15">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row>
    <row r="125" spans="23:56" ht="15">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row>
    <row r="126" spans="23:56" ht="15">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row>
    <row r="127" spans="23:56" ht="15">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row>
    <row r="128" spans="5:56" ht="15">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row>
  </sheetData>
  <sheetProtection password="D997" sheet="1" objects="1" scenarios="1"/>
  <mergeCells count="6">
    <mergeCell ref="C2:E2"/>
    <mergeCell ref="C82:C83"/>
    <mergeCell ref="H12:I12"/>
    <mergeCell ref="B23:B29"/>
    <mergeCell ref="B21:O21"/>
    <mergeCell ref="G3:K3"/>
  </mergeCells>
  <printOptions/>
  <pageMargins left="0.75" right="0.75" top="1" bottom="1" header="0.5" footer="0.5"/>
  <pageSetup fitToHeight="3" horizontalDpi="600" verticalDpi="600" orientation="landscape" scale="54" r:id="rId4"/>
  <rowBreaks count="2" manualBreakCount="2">
    <brk id="30" min="1" max="15" man="1"/>
    <brk id="80" min="1" max="1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3"/>
  <dimension ref="B2:BH123"/>
  <sheetViews>
    <sheetView view="pageBreakPreview" zoomScale="65" zoomScaleNormal="85" zoomScaleSheetLayoutView="65" workbookViewId="0" topLeftCell="A31">
      <selection activeCell="C53" sqref="C53"/>
    </sheetView>
  </sheetViews>
  <sheetFormatPr defaultColWidth="9.140625" defaultRowHeight="15"/>
  <cols>
    <col min="1" max="1" width="3.00390625" style="0" customWidth="1"/>
    <col min="3" max="3" width="41.7109375" style="0" customWidth="1"/>
    <col min="4" max="4" width="15.57421875" style="0" customWidth="1"/>
    <col min="5" max="5" width="15.28125" style="0" customWidth="1"/>
    <col min="6" max="6" width="15.28125" style="0" bestFit="1" customWidth="1"/>
    <col min="7" max="7" width="13.8515625" style="0" customWidth="1"/>
    <col min="8" max="8" width="13.7109375" style="0" customWidth="1"/>
    <col min="9" max="15" width="14.140625" style="0" bestFit="1" customWidth="1"/>
    <col min="16" max="16" width="13.57421875" style="0" bestFit="1" customWidth="1"/>
    <col min="17" max="17" width="11.28125" style="0" bestFit="1" customWidth="1"/>
    <col min="21" max="21" width="10.421875" style="0" bestFit="1" customWidth="1"/>
  </cols>
  <sheetData>
    <row r="1" ht="15.75" thickBot="1"/>
    <row r="2" spans="3:21" ht="16.5" thickBot="1">
      <c r="C2" s="1103" t="s">
        <v>12</v>
      </c>
      <c r="D2" s="1104"/>
      <c r="E2" s="1105"/>
      <c r="F2" s="289"/>
      <c r="U2" s="283"/>
    </row>
    <row r="3" spans="3:11" ht="15.75" thickTop="1">
      <c r="C3" s="760"/>
      <c r="D3" s="761"/>
      <c r="E3" s="762"/>
      <c r="F3" s="290"/>
      <c r="G3" s="1073" t="s">
        <v>403</v>
      </c>
      <c r="H3" s="1074"/>
      <c r="I3" s="1074"/>
      <c r="J3" s="1074"/>
      <c r="K3" s="1075"/>
    </row>
    <row r="4" spans="3:11" ht="15" customHeight="1">
      <c r="C4" s="763" t="s">
        <v>11</v>
      </c>
      <c r="D4" s="764">
        <f>FCost</f>
        <v>414644.7</v>
      </c>
      <c r="E4" s="765"/>
      <c r="G4" s="1034"/>
      <c r="H4" s="1035" t="s">
        <v>313</v>
      </c>
      <c r="I4" s="2"/>
      <c r="J4" s="2"/>
      <c r="K4" s="1036"/>
    </row>
    <row r="5" spans="3:11" ht="15">
      <c r="C5" s="763" t="s">
        <v>204</v>
      </c>
      <c r="D5" s="766">
        <f>Measures!J14</f>
        <v>1.6833333333333333</v>
      </c>
      <c r="E5" s="767" t="s">
        <v>1</v>
      </c>
      <c r="G5" s="1037"/>
      <c r="H5" s="1035" t="s">
        <v>401</v>
      </c>
      <c r="I5" s="2"/>
      <c r="J5" s="2"/>
      <c r="K5" s="1036"/>
    </row>
    <row r="6" spans="3:11" ht="15">
      <c r="C6" s="763" t="s">
        <v>215</v>
      </c>
      <c r="D6" s="770">
        <f>Measures!K14</f>
        <v>0.594059405940594</v>
      </c>
      <c r="E6" s="767"/>
      <c r="G6" s="1038"/>
      <c r="H6" s="1035" t="s">
        <v>312</v>
      </c>
      <c r="I6" s="2"/>
      <c r="J6" s="2"/>
      <c r="K6" s="1036"/>
    </row>
    <row r="7" spans="3:11" ht="15.75" thickBot="1">
      <c r="C7" s="763" t="s">
        <v>205</v>
      </c>
      <c r="D7" s="766">
        <f>Measures!J18</f>
        <v>2.171865238095238</v>
      </c>
      <c r="E7" s="767" t="s">
        <v>1</v>
      </c>
      <c r="G7" s="1039"/>
      <c r="H7" s="1040" t="s">
        <v>311</v>
      </c>
      <c r="I7" s="1041"/>
      <c r="J7" s="1041"/>
      <c r="K7" s="1042"/>
    </row>
    <row r="8" spans="3:5" ht="16.5" thickBot="1" thickTop="1">
      <c r="C8" s="768" t="s">
        <v>217</v>
      </c>
      <c r="D8" s="771">
        <f>Measures!J19</f>
        <v>0.5072103258808672</v>
      </c>
      <c r="E8" s="769"/>
    </row>
    <row r="9" spans="3:5" ht="15">
      <c r="C9" s="956" t="s">
        <v>390</v>
      </c>
      <c r="D9" s="957">
        <f>E37</f>
        <v>17470</v>
      </c>
      <c r="E9" s="958"/>
    </row>
    <row r="10" spans="3:5" ht="15">
      <c r="C10" s="808" t="s">
        <v>391</v>
      </c>
      <c r="D10" s="809">
        <f>E38</f>
        <v>357000</v>
      </c>
      <c r="E10" s="810"/>
    </row>
    <row r="11" spans="3:5" ht="15">
      <c r="C11" s="811"/>
      <c r="D11" s="812"/>
      <c r="E11" s="813"/>
    </row>
    <row r="12" spans="3:5" ht="15">
      <c r="C12" s="811" t="s">
        <v>392</v>
      </c>
      <c r="D12" s="812" t="e">
        <f>F73</f>
        <v>#VALUE!</v>
      </c>
      <c r="E12" s="813"/>
    </row>
    <row r="13" spans="3:21" ht="15">
      <c r="C13" s="811" t="s">
        <v>14</v>
      </c>
      <c r="D13" s="814" t="e">
        <f>'ESCO Output'!P68</f>
        <v>#VALUE!</v>
      </c>
      <c r="E13" s="813"/>
      <c r="G13" s="273"/>
      <c r="H13" s="1108"/>
      <c r="I13" s="1108"/>
      <c r="J13" s="100"/>
      <c r="K13" s="274"/>
      <c r="L13" s="274"/>
      <c r="M13" s="274"/>
      <c r="N13" s="274"/>
      <c r="O13" s="274"/>
      <c r="P13" s="274"/>
      <c r="Q13" s="274"/>
      <c r="R13" s="274"/>
      <c r="S13" s="274"/>
      <c r="T13" s="274"/>
      <c r="U13" s="274"/>
    </row>
    <row r="14" spans="3:5" ht="15">
      <c r="C14" s="811" t="s">
        <v>15</v>
      </c>
      <c r="D14" s="815" t="e">
        <f>'ESCO Output'!F72</f>
        <v>#VALUE!</v>
      </c>
      <c r="E14" s="813"/>
    </row>
    <row r="15" spans="3:5" ht="15">
      <c r="C15" s="811" t="s">
        <v>19</v>
      </c>
      <c r="D15" s="953">
        <f>'Customer Output'!D8</f>
        <v>41447</v>
      </c>
      <c r="E15" s="813"/>
    </row>
    <row r="16" spans="3:5" ht="15.75" thickBot="1">
      <c r="C16" s="816" t="s">
        <v>357</v>
      </c>
      <c r="D16" s="959" t="e">
        <f>D9+D10+D12</f>
        <v>#VALUE!</v>
      </c>
      <c r="E16" s="817"/>
    </row>
    <row r="17" spans="3:5" ht="15">
      <c r="C17" s="100"/>
      <c r="D17" s="100"/>
      <c r="E17" s="100"/>
    </row>
    <row r="18" spans="3:5" ht="15">
      <c r="C18" s="100"/>
      <c r="D18" s="954"/>
      <c r="E18" s="100"/>
    </row>
    <row r="19" spans="3:5" ht="15">
      <c r="C19" s="100"/>
      <c r="D19" s="100"/>
      <c r="E19" s="100"/>
    </row>
    <row r="20" spans="3:5" ht="15">
      <c r="C20" s="100"/>
      <c r="D20" s="955"/>
      <c r="E20" s="100"/>
    </row>
    <row r="21" ht="15.75" thickBot="1"/>
    <row r="22" spans="2:15" ht="15.75">
      <c r="B22" s="1111" t="s">
        <v>275</v>
      </c>
      <c r="C22" s="1112"/>
      <c r="D22" s="1112"/>
      <c r="E22" s="1112"/>
      <c r="F22" s="1112"/>
      <c r="G22" s="1112"/>
      <c r="H22" s="1112"/>
      <c r="I22" s="1112"/>
      <c r="J22" s="1112"/>
      <c r="K22" s="1112"/>
      <c r="L22" s="1112"/>
      <c r="M22" s="1112"/>
      <c r="N22" s="1112"/>
      <c r="O22" s="1113"/>
    </row>
    <row r="23" spans="2:15" ht="15">
      <c r="B23" s="285"/>
      <c r="C23" s="153"/>
      <c r="D23" s="157" t="s">
        <v>248</v>
      </c>
      <c r="E23" s="157" t="s">
        <v>95</v>
      </c>
      <c r="F23" s="157" t="s">
        <v>254</v>
      </c>
      <c r="G23" s="157" t="s">
        <v>255</v>
      </c>
      <c r="H23" s="157" t="s">
        <v>256</v>
      </c>
      <c r="I23" s="157" t="s">
        <v>257</v>
      </c>
      <c r="J23" s="157" t="s">
        <v>258</v>
      </c>
      <c r="K23" s="157" t="s">
        <v>259</v>
      </c>
      <c r="L23" s="157" t="s">
        <v>260</v>
      </c>
      <c r="M23" s="157" t="s">
        <v>261</v>
      </c>
      <c r="N23" s="157" t="s">
        <v>262</v>
      </c>
      <c r="O23" s="286" t="s">
        <v>263</v>
      </c>
    </row>
    <row r="24" spans="2:15" ht="15">
      <c r="B24" s="1116" t="s">
        <v>268</v>
      </c>
      <c r="C24" s="818" t="s">
        <v>253</v>
      </c>
      <c r="D24" s="819">
        <f aca="true" t="shared" si="0" ref="D24:O24">(D93+D94)/D97</f>
        <v>0</v>
      </c>
      <c r="E24" s="820" t="e">
        <f t="shared" si="0"/>
        <v>#VALUE!</v>
      </c>
      <c r="F24" s="820" t="e">
        <f t="shared" si="0"/>
        <v>#VALUE!</v>
      </c>
      <c r="G24" s="820" t="e">
        <f t="shared" si="0"/>
        <v>#VALUE!</v>
      </c>
      <c r="H24" s="820" t="e">
        <f t="shared" si="0"/>
        <v>#VALUE!</v>
      </c>
      <c r="I24" s="820" t="e">
        <f t="shared" si="0"/>
        <v>#VALUE!</v>
      </c>
      <c r="J24" s="820" t="e">
        <f t="shared" si="0"/>
        <v>#VALUE!</v>
      </c>
      <c r="K24" s="820" t="e">
        <f t="shared" si="0"/>
        <v>#VALUE!</v>
      </c>
      <c r="L24" s="820" t="e">
        <f t="shared" si="0"/>
        <v>#VALUE!</v>
      </c>
      <c r="M24" s="820" t="e">
        <f t="shared" si="0"/>
        <v>#VALUE!</v>
      </c>
      <c r="N24" s="820" t="e">
        <f t="shared" si="0"/>
        <v>#VALUE!</v>
      </c>
      <c r="O24" s="821" t="e">
        <f t="shared" si="0"/>
        <v>#VALUE!</v>
      </c>
    </row>
    <row r="25" spans="2:15" ht="15">
      <c r="B25" s="1116"/>
      <c r="C25" s="822" t="s">
        <v>265</v>
      </c>
      <c r="D25" s="823" t="e">
        <f aca="true" t="shared" si="1" ref="D25:O25">D95/D91</f>
        <v>#DIV/0!</v>
      </c>
      <c r="E25" s="824" t="e">
        <f t="shared" si="1"/>
        <v>#VALUE!</v>
      </c>
      <c r="F25" s="824" t="e">
        <f t="shared" si="1"/>
        <v>#VALUE!</v>
      </c>
      <c r="G25" s="824" t="e">
        <f t="shared" si="1"/>
        <v>#VALUE!</v>
      </c>
      <c r="H25" s="824" t="e">
        <f t="shared" si="1"/>
        <v>#VALUE!</v>
      </c>
      <c r="I25" s="824" t="e">
        <f t="shared" si="1"/>
        <v>#VALUE!</v>
      </c>
      <c r="J25" s="824" t="e">
        <f t="shared" si="1"/>
        <v>#VALUE!</v>
      </c>
      <c r="K25" s="824" t="e">
        <f t="shared" si="1"/>
        <v>#VALUE!</v>
      </c>
      <c r="L25" s="824" t="e">
        <f t="shared" si="1"/>
        <v>#VALUE!</v>
      </c>
      <c r="M25" s="824" t="e">
        <f t="shared" si="1"/>
        <v>#VALUE!</v>
      </c>
      <c r="N25" s="824" t="e">
        <f t="shared" si="1"/>
        <v>#VALUE!</v>
      </c>
      <c r="O25" s="825" t="e">
        <f t="shared" si="1"/>
        <v>#VALUE!</v>
      </c>
    </row>
    <row r="26" spans="2:15" ht="15">
      <c r="B26" s="1116"/>
      <c r="C26" s="822" t="s">
        <v>157</v>
      </c>
      <c r="D26" s="823">
        <f aca="true" t="shared" si="2" ref="D26:O26">D95/D98</f>
        <v>-1</v>
      </c>
      <c r="E26" s="824" t="e">
        <f t="shared" si="2"/>
        <v>#VALUE!</v>
      </c>
      <c r="F26" s="824" t="e">
        <f t="shared" si="2"/>
        <v>#VALUE!</v>
      </c>
      <c r="G26" s="824" t="e">
        <f t="shared" si="2"/>
        <v>#VALUE!</v>
      </c>
      <c r="H26" s="824" t="e">
        <f t="shared" si="2"/>
        <v>#VALUE!</v>
      </c>
      <c r="I26" s="824" t="e">
        <f t="shared" si="2"/>
        <v>#VALUE!</v>
      </c>
      <c r="J26" s="824" t="e">
        <f t="shared" si="2"/>
        <v>#VALUE!</v>
      </c>
      <c r="K26" s="824" t="e">
        <f t="shared" si="2"/>
        <v>#VALUE!</v>
      </c>
      <c r="L26" s="824" t="e">
        <f t="shared" si="2"/>
        <v>#VALUE!</v>
      </c>
      <c r="M26" s="824" t="e">
        <f t="shared" si="2"/>
        <v>#VALUE!</v>
      </c>
      <c r="N26" s="824" t="e">
        <f t="shared" si="2"/>
        <v>#VALUE!</v>
      </c>
      <c r="O26" s="825" t="e">
        <f t="shared" si="2"/>
        <v>#VALUE!</v>
      </c>
    </row>
    <row r="27" spans="2:15" ht="15">
      <c r="B27" s="1116"/>
      <c r="C27" s="822" t="s">
        <v>153</v>
      </c>
      <c r="D27" s="826" t="e">
        <f aca="true" t="shared" si="3" ref="D27:O27">(D102+D85)/(D85-D109)</f>
        <v>#DIV/0!</v>
      </c>
      <c r="E27" s="827" t="e">
        <f t="shared" si="3"/>
        <v>#VALUE!</v>
      </c>
      <c r="F27" s="827" t="e">
        <f t="shared" si="3"/>
        <v>#VALUE!</v>
      </c>
      <c r="G27" s="827" t="e">
        <f t="shared" si="3"/>
        <v>#VALUE!</v>
      </c>
      <c r="H27" s="827" t="e">
        <f t="shared" si="3"/>
        <v>#VALUE!</v>
      </c>
      <c r="I27" s="827" t="e">
        <f t="shared" si="3"/>
        <v>#VALUE!</v>
      </c>
      <c r="J27" s="827" t="e">
        <f t="shared" si="3"/>
        <v>#VALUE!</v>
      </c>
      <c r="K27" s="827" t="e">
        <f t="shared" si="3"/>
        <v>#VALUE!</v>
      </c>
      <c r="L27" s="827" t="e">
        <f t="shared" si="3"/>
        <v>#VALUE!</v>
      </c>
      <c r="M27" s="827" t="e">
        <f t="shared" si="3"/>
        <v>#VALUE!</v>
      </c>
      <c r="N27" s="827" t="e">
        <f t="shared" si="3"/>
        <v>#VALUE!</v>
      </c>
      <c r="O27" s="828" t="e">
        <f t="shared" si="3"/>
        <v>#VALUE!</v>
      </c>
    </row>
    <row r="28" spans="2:15" ht="15">
      <c r="B28" s="1116"/>
      <c r="C28" s="822" t="s">
        <v>176</v>
      </c>
      <c r="D28" s="829" t="e">
        <f aca="true" t="shared" si="4" ref="D28:O28">D84/D80</f>
        <v>#DIV/0!</v>
      </c>
      <c r="E28" s="830" t="e">
        <f t="shared" si="4"/>
        <v>#VALUE!</v>
      </c>
      <c r="F28" s="830" t="e">
        <f t="shared" si="4"/>
        <v>#VALUE!</v>
      </c>
      <c r="G28" s="830" t="e">
        <f t="shared" si="4"/>
        <v>#VALUE!</v>
      </c>
      <c r="H28" s="830" t="e">
        <f t="shared" si="4"/>
        <v>#VALUE!</v>
      </c>
      <c r="I28" s="830" t="e">
        <f t="shared" si="4"/>
        <v>#VALUE!</v>
      </c>
      <c r="J28" s="830" t="e">
        <f t="shared" si="4"/>
        <v>#VALUE!</v>
      </c>
      <c r="K28" s="830" t="e">
        <f t="shared" si="4"/>
        <v>#VALUE!</v>
      </c>
      <c r="L28" s="830" t="e">
        <f t="shared" si="4"/>
        <v>#VALUE!</v>
      </c>
      <c r="M28" s="830" t="e">
        <f t="shared" si="4"/>
        <v>#VALUE!</v>
      </c>
      <c r="N28" s="830" t="e">
        <f t="shared" si="4"/>
        <v>#VALUE!</v>
      </c>
      <c r="O28" s="831" t="e">
        <f t="shared" si="4"/>
        <v>#VALUE!</v>
      </c>
    </row>
    <row r="29" spans="2:15" ht="18" customHeight="1">
      <c r="B29" s="1116"/>
      <c r="C29" s="822" t="s">
        <v>162</v>
      </c>
      <c r="D29" s="832" t="e">
        <f aca="true" t="shared" si="5" ref="D29:O29">D88/D80</f>
        <v>#DIV/0!</v>
      </c>
      <c r="E29" s="833" t="e">
        <f t="shared" si="5"/>
        <v>#VALUE!</v>
      </c>
      <c r="F29" s="833" t="e">
        <f t="shared" si="5"/>
        <v>#VALUE!</v>
      </c>
      <c r="G29" s="833" t="e">
        <f t="shared" si="5"/>
        <v>#VALUE!</v>
      </c>
      <c r="H29" s="833" t="e">
        <f t="shared" si="5"/>
        <v>#VALUE!</v>
      </c>
      <c r="I29" s="833" t="e">
        <f t="shared" si="5"/>
        <v>#VALUE!</v>
      </c>
      <c r="J29" s="833" t="e">
        <f t="shared" si="5"/>
        <v>#VALUE!</v>
      </c>
      <c r="K29" s="833" t="e">
        <f t="shared" si="5"/>
        <v>#VALUE!</v>
      </c>
      <c r="L29" s="833" t="e">
        <f t="shared" si="5"/>
        <v>#VALUE!</v>
      </c>
      <c r="M29" s="833" t="e">
        <f t="shared" si="5"/>
        <v>#VALUE!</v>
      </c>
      <c r="N29" s="833" t="e">
        <f t="shared" si="5"/>
        <v>#VALUE!</v>
      </c>
      <c r="O29" s="834" t="e">
        <f t="shared" si="5"/>
        <v>#VALUE!</v>
      </c>
    </row>
    <row r="30" spans="2:15" ht="17.25" customHeight="1" thickBot="1">
      <c r="B30" s="1117"/>
      <c r="C30" s="835" t="s">
        <v>266</v>
      </c>
      <c r="D30" s="836">
        <f aca="true" t="shared" si="6" ref="D30:O30">D96</f>
        <v>5000000</v>
      </c>
      <c r="E30" s="837">
        <f t="shared" si="6"/>
        <v>5000000</v>
      </c>
      <c r="F30" s="837">
        <f t="shared" si="6"/>
        <v>5000000</v>
      </c>
      <c r="G30" s="837">
        <f t="shared" si="6"/>
        <v>5000000</v>
      </c>
      <c r="H30" s="837">
        <f t="shared" si="6"/>
        <v>5000000</v>
      </c>
      <c r="I30" s="837">
        <f t="shared" si="6"/>
        <v>5000000</v>
      </c>
      <c r="J30" s="837">
        <f t="shared" si="6"/>
        <v>5000000</v>
      </c>
      <c r="K30" s="837">
        <f t="shared" si="6"/>
        <v>5000000</v>
      </c>
      <c r="L30" s="837">
        <f t="shared" si="6"/>
        <v>5000000</v>
      </c>
      <c r="M30" s="837">
        <f t="shared" si="6"/>
        <v>5000000</v>
      </c>
      <c r="N30" s="837">
        <f t="shared" si="6"/>
        <v>5000000</v>
      </c>
      <c r="O30" s="838">
        <f t="shared" si="6"/>
        <v>5000000</v>
      </c>
    </row>
    <row r="32" ht="15.75" thickBot="1"/>
    <row r="33" spans="3:16" ht="15">
      <c r="C33" s="839" t="s">
        <v>358</v>
      </c>
      <c r="D33" s="840"/>
      <c r="E33" s="841" t="s">
        <v>95</v>
      </c>
      <c r="F33" s="841" t="s">
        <v>96</v>
      </c>
      <c r="G33" s="842"/>
      <c r="H33" s="840"/>
      <c r="I33" s="843"/>
      <c r="J33" s="840"/>
      <c r="K33" s="840"/>
      <c r="L33" s="840"/>
      <c r="M33" s="840"/>
      <c r="N33" s="840"/>
      <c r="O33" s="840"/>
      <c r="P33" s="844"/>
    </row>
    <row r="34" spans="3:16" ht="15">
      <c r="C34" s="845" t="s">
        <v>60</v>
      </c>
      <c r="D34" s="846"/>
      <c r="E34" s="847">
        <v>0</v>
      </c>
      <c r="F34" s="847">
        <f aca="true" t="shared" si="7" ref="F34:O34">E34+1</f>
        <v>1</v>
      </c>
      <c r="G34" s="847">
        <f t="shared" si="7"/>
        <v>2</v>
      </c>
      <c r="H34" s="847">
        <f t="shared" si="7"/>
        <v>3</v>
      </c>
      <c r="I34" s="847">
        <f t="shared" si="7"/>
        <v>4</v>
      </c>
      <c r="J34" s="847">
        <f t="shared" si="7"/>
        <v>5</v>
      </c>
      <c r="K34" s="847">
        <f t="shared" si="7"/>
        <v>6</v>
      </c>
      <c r="L34" s="847">
        <f t="shared" si="7"/>
        <v>7</v>
      </c>
      <c r="M34" s="847">
        <f t="shared" si="7"/>
        <v>8</v>
      </c>
      <c r="N34" s="847">
        <f t="shared" si="7"/>
        <v>9</v>
      </c>
      <c r="O34" s="847">
        <f t="shared" si="7"/>
        <v>10</v>
      </c>
      <c r="P34" s="848" t="s">
        <v>61</v>
      </c>
    </row>
    <row r="35" spans="3:16" ht="15.75">
      <c r="C35" s="849" t="s">
        <v>359</v>
      </c>
      <c r="D35" s="850"/>
      <c r="E35" s="847"/>
      <c r="F35" s="847"/>
      <c r="G35" s="851"/>
      <c r="H35" s="851"/>
      <c r="I35" s="851"/>
      <c r="J35" s="851"/>
      <c r="K35" s="851"/>
      <c r="L35" s="851"/>
      <c r="M35" s="851"/>
      <c r="N35" s="851"/>
      <c r="O35" s="851"/>
      <c r="P35" s="852"/>
    </row>
    <row r="36" spans="3:16" ht="15">
      <c r="C36" s="853" t="s">
        <v>363</v>
      </c>
      <c r="D36" s="854"/>
      <c r="E36" s="855"/>
      <c r="F36" s="847"/>
      <c r="G36" s="847"/>
      <c r="H36" s="847"/>
      <c r="I36" s="847"/>
      <c r="J36" s="847"/>
      <c r="K36" s="847"/>
      <c r="L36" s="847"/>
      <c r="M36" s="847"/>
      <c r="N36" s="847"/>
      <c r="O36" s="847"/>
      <c r="P36" s="852"/>
    </row>
    <row r="37" spans="3:22" ht="15">
      <c r="C37" s="856" t="s">
        <v>384</v>
      </c>
      <c r="D37" s="847"/>
      <c r="E37" s="857">
        <f>' Summary'!F22*(1+Inputs!J41)</f>
        <v>17470</v>
      </c>
      <c r="F37" s="857"/>
      <c r="G37" s="857"/>
      <c r="H37" s="857"/>
      <c r="I37" s="857"/>
      <c r="J37" s="857"/>
      <c r="K37" s="857"/>
      <c r="L37" s="857"/>
      <c r="M37" s="857"/>
      <c r="N37" s="857"/>
      <c r="O37" s="857"/>
      <c r="P37" s="858">
        <f>SUM(E37:O37)</f>
        <v>17470</v>
      </c>
      <c r="Q37" s="772"/>
      <c r="R37" s="772"/>
      <c r="S37" s="772"/>
      <c r="T37" s="772"/>
      <c r="U37" s="118"/>
      <c r="V37" s="118"/>
    </row>
    <row r="38" spans="3:22" ht="15">
      <c r="C38" s="856" t="s">
        <v>383</v>
      </c>
      <c r="D38" s="847"/>
      <c r="E38" s="857">
        <f>' Summary'!F9*(1+Inputs!J41)</f>
        <v>357000</v>
      </c>
      <c r="F38" s="857"/>
      <c r="G38" s="857"/>
      <c r="H38" s="857"/>
      <c r="I38" s="857"/>
      <c r="J38" s="857"/>
      <c r="K38" s="857"/>
      <c r="L38" s="857"/>
      <c r="M38" s="857"/>
      <c r="N38" s="857"/>
      <c r="O38" s="857"/>
      <c r="P38" s="858"/>
      <c r="Q38" s="772"/>
      <c r="R38" s="772"/>
      <c r="S38" s="772"/>
      <c r="T38" s="772"/>
      <c r="U38" s="118"/>
      <c r="V38" s="118"/>
    </row>
    <row r="39" spans="3:22" ht="15">
      <c r="C39" s="859" t="s">
        <v>26</v>
      </c>
      <c r="D39" s="847"/>
      <c r="E39" s="860">
        <v>0</v>
      </c>
      <c r="F39" s="860">
        <f>IF(Term&gt;F34,' Summary'!J28)</f>
        <v>0</v>
      </c>
      <c r="G39" s="860">
        <f aca="true" t="shared" si="8" ref="G39:O39">IF(Term&gt;=G34,F39*(1+Inflation),0)</f>
        <v>0</v>
      </c>
      <c r="H39" s="860">
        <f t="shared" si="8"/>
        <v>0</v>
      </c>
      <c r="I39" s="860">
        <f t="shared" si="8"/>
        <v>0</v>
      </c>
      <c r="J39" s="860">
        <f t="shared" si="8"/>
        <v>0</v>
      </c>
      <c r="K39" s="860">
        <f t="shared" si="8"/>
        <v>0</v>
      </c>
      <c r="L39" s="860">
        <f t="shared" si="8"/>
        <v>0</v>
      </c>
      <c r="M39" s="860">
        <f t="shared" si="8"/>
        <v>0</v>
      </c>
      <c r="N39" s="860">
        <f t="shared" si="8"/>
        <v>0</v>
      </c>
      <c r="O39" s="860">
        <f t="shared" si="8"/>
        <v>0</v>
      </c>
      <c r="P39" s="858">
        <f>SUM(E39:O39)</f>
        <v>0</v>
      </c>
      <c r="Q39" s="772"/>
      <c r="R39" s="772"/>
      <c r="S39" s="772"/>
      <c r="T39" s="772"/>
      <c r="U39" s="118"/>
      <c r="V39" s="118"/>
    </row>
    <row r="40" spans="3:22" ht="15">
      <c r="C40" s="859" t="s">
        <v>375</v>
      </c>
      <c r="D40" s="847"/>
      <c r="E40" s="861" t="e">
        <f>Measures!M14*Inputs!D42</f>
        <v>#VALUE!</v>
      </c>
      <c r="F40" s="860">
        <f>IF(' Summary'!$J32&lt;F34,0,' Summary'!J30)</f>
        <v>0</v>
      </c>
      <c r="G40" s="860">
        <f aca="true" t="shared" si="9" ref="G40:O40">IF(Term&gt;=G34,F40*(1+Inflation),0)</f>
        <v>0</v>
      </c>
      <c r="H40" s="860">
        <f t="shared" si="9"/>
        <v>0</v>
      </c>
      <c r="I40" s="860">
        <f t="shared" si="9"/>
        <v>0</v>
      </c>
      <c r="J40" s="860">
        <f t="shared" si="9"/>
        <v>0</v>
      </c>
      <c r="K40" s="860">
        <f t="shared" si="9"/>
        <v>0</v>
      </c>
      <c r="L40" s="860">
        <f t="shared" si="9"/>
        <v>0</v>
      </c>
      <c r="M40" s="860">
        <f t="shared" si="9"/>
        <v>0</v>
      </c>
      <c r="N40" s="860">
        <f t="shared" si="9"/>
        <v>0</v>
      </c>
      <c r="O40" s="860">
        <f t="shared" si="9"/>
        <v>0</v>
      </c>
      <c r="P40" s="858" t="e">
        <f>SUM(E40:O40)</f>
        <v>#VALUE!</v>
      </c>
      <c r="Q40" s="772"/>
      <c r="R40" s="772"/>
      <c r="S40" s="772"/>
      <c r="T40" s="772"/>
      <c r="U40" s="118"/>
      <c r="V40" s="118"/>
    </row>
    <row r="41" spans="3:22" ht="15">
      <c r="C41" s="859" t="s">
        <v>368</v>
      </c>
      <c r="D41" s="847"/>
      <c r="E41" s="861"/>
      <c r="F41" s="860">
        <f>IF('SPE Output'!F73&gt;0,Inputs!$J$40*'SPE Output'!F73,0)</f>
        <v>0</v>
      </c>
      <c r="G41" s="860">
        <f>IF('SPE Output'!G73&gt;0,Inputs!$J$40*'SPE Output'!G73,0)</f>
        <v>0</v>
      </c>
      <c r="H41" s="860">
        <f>IF('SPE Output'!H73&gt;0,Inputs!$J$40*'SPE Output'!H73,0)</f>
        <v>0</v>
      </c>
      <c r="I41" s="860">
        <f>IF('SPE Output'!I73&gt;0,Inputs!$J$40*'SPE Output'!I73,0)</f>
        <v>0</v>
      </c>
      <c r="J41" s="860">
        <f>IF('SPE Output'!J73&gt;0,Inputs!$J$40*'SPE Output'!J73,0)</f>
        <v>0</v>
      </c>
      <c r="K41" s="860">
        <f>IF('SPE Output'!K73&gt;0,Inputs!$J$40*'SPE Output'!K73,0)</f>
        <v>0</v>
      </c>
      <c r="L41" s="860">
        <f>IF('SPE Output'!L73&gt;0,Inputs!$J$40*'SPE Output'!L73,0)</f>
        <v>0</v>
      </c>
      <c r="M41" s="860">
        <f>IF('SPE Output'!M73&gt;0,Inputs!$J$40*'SPE Output'!M73,0)</f>
        <v>0</v>
      </c>
      <c r="N41" s="860">
        <f>IF('SPE Output'!N73&gt;0,Inputs!$J$40*'SPE Output'!N73,0)</f>
        <v>0</v>
      </c>
      <c r="O41" s="860">
        <f>IF('SPE Output'!O73&gt;0,Inputs!$J$40*'SPE Output'!O73,0)</f>
        <v>0</v>
      </c>
      <c r="P41" s="858">
        <f>SUM(E41:O41)</f>
        <v>0</v>
      </c>
      <c r="Q41" s="772"/>
      <c r="R41" s="772"/>
      <c r="S41" s="772"/>
      <c r="T41" s="772"/>
      <c r="U41" s="118"/>
      <c r="V41" s="118"/>
    </row>
    <row r="42" spans="3:22" ht="15">
      <c r="C42" s="859" t="s">
        <v>38</v>
      </c>
      <c r="D42" s="847"/>
      <c r="E42" s="862">
        <v>0</v>
      </c>
      <c r="F42" s="862">
        <v>0</v>
      </c>
      <c r="G42" s="862">
        <v>0</v>
      </c>
      <c r="H42" s="862">
        <v>0</v>
      </c>
      <c r="I42" s="862">
        <v>0</v>
      </c>
      <c r="J42" s="862">
        <v>0</v>
      </c>
      <c r="K42" s="862">
        <v>0</v>
      </c>
      <c r="L42" s="862">
        <v>0</v>
      </c>
      <c r="M42" s="862">
        <v>0</v>
      </c>
      <c r="N42" s="862">
        <v>0</v>
      </c>
      <c r="O42" s="862">
        <v>0</v>
      </c>
      <c r="P42" s="863">
        <f>SUM(E42:O42)</f>
        <v>0</v>
      </c>
      <c r="Q42" s="772" t="e">
        <f>SUM(P37:P42)</f>
        <v>#VALUE!</v>
      </c>
      <c r="R42" s="772"/>
      <c r="S42" s="772"/>
      <c r="T42" s="772"/>
      <c r="U42" s="118"/>
      <c r="V42" s="118"/>
    </row>
    <row r="43" spans="3:22" ht="15">
      <c r="C43" s="864" t="s">
        <v>103</v>
      </c>
      <c r="D43" s="865"/>
      <c r="E43" s="860" t="e">
        <f aca="true" t="shared" si="10" ref="E43:O43">SUM(E37:E42)</f>
        <v>#VALUE!</v>
      </c>
      <c r="F43" s="860">
        <f t="shared" si="10"/>
        <v>0</v>
      </c>
      <c r="G43" s="860">
        <f t="shared" si="10"/>
        <v>0</v>
      </c>
      <c r="H43" s="860">
        <f t="shared" si="10"/>
        <v>0</v>
      </c>
      <c r="I43" s="860">
        <f t="shared" si="10"/>
        <v>0</v>
      </c>
      <c r="J43" s="860">
        <f t="shared" si="10"/>
        <v>0</v>
      </c>
      <c r="K43" s="860">
        <f t="shared" si="10"/>
        <v>0</v>
      </c>
      <c r="L43" s="860">
        <f t="shared" si="10"/>
        <v>0</v>
      </c>
      <c r="M43" s="860">
        <f t="shared" si="10"/>
        <v>0</v>
      </c>
      <c r="N43" s="860">
        <f t="shared" si="10"/>
        <v>0</v>
      </c>
      <c r="O43" s="860">
        <f t="shared" si="10"/>
        <v>0</v>
      </c>
      <c r="P43" s="858" t="e">
        <f>SUM(E43:O43)</f>
        <v>#VALUE!</v>
      </c>
      <c r="Q43" s="772"/>
      <c r="R43" s="772"/>
      <c r="S43" s="772"/>
      <c r="T43" s="772"/>
      <c r="U43" s="118"/>
      <c r="V43" s="118"/>
    </row>
    <row r="44" spans="3:22" ht="15">
      <c r="C44" s="853" t="s">
        <v>104</v>
      </c>
      <c r="D44" s="854"/>
      <c r="E44" s="866"/>
      <c r="F44" s="860"/>
      <c r="G44" s="860"/>
      <c r="H44" s="860"/>
      <c r="I44" s="860"/>
      <c r="J44" s="860"/>
      <c r="K44" s="860"/>
      <c r="L44" s="860"/>
      <c r="M44" s="860"/>
      <c r="N44" s="860"/>
      <c r="O44" s="860"/>
      <c r="P44" s="858"/>
      <c r="Q44" s="772"/>
      <c r="R44" s="772"/>
      <c r="S44" s="772"/>
      <c r="T44" s="772"/>
      <c r="U44" s="118"/>
      <c r="V44" s="118"/>
    </row>
    <row r="45" spans="3:22" ht="15">
      <c r="C45" s="856" t="s">
        <v>26</v>
      </c>
      <c r="D45" s="847"/>
      <c r="E45" s="860">
        <v>0</v>
      </c>
      <c r="F45" s="860">
        <f>IF(Term&gt;=F34,' Summary'!$K28*' Summary'!$J12,0)</f>
        <v>0</v>
      </c>
      <c r="G45" s="860">
        <f aca="true" t="shared" si="11" ref="G45:O45">IF(Term&gt;=G34,F45*(1+Inflation),0)</f>
        <v>0</v>
      </c>
      <c r="H45" s="860">
        <f t="shared" si="11"/>
        <v>0</v>
      </c>
      <c r="I45" s="860">
        <f t="shared" si="11"/>
        <v>0</v>
      </c>
      <c r="J45" s="860">
        <f t="shared" si="11"/>
        <v>0</v>
      </c>
      <c r="K45" s="860">
        <f t="shared" si="11"/>
        <v>0</v>
      </c>
      <c r="L45" s="860">
        <f t="shared" si="11"/>
        <v>0</v>
      </c>
      <c r="M45" s="860">
        <f t="shared" si="11"/>
        <v>0</v>
      </c>
      <c r="N45" s="860">
        <f t="shared" si="11"/>
        <v>0</v>
      </c>
      <c r="O45" s="860">
        <f t="shared" si="11"/>
        <v>0</v>
      </c>
      <c r="P45" s="858">
        <f aca="true" t="shared" si="12" ref="P45:P50">SUM(E45:O45)</f>
        <v>0</v>
      </c>
      <c r="Q45" s="772"/>
      <c r="R45" s="772"/>
      <c r="S45" s="772"/>
      <c r="T45" s="772"/>
      <c r="U45" s="118"/>
      <c r="V45" s="118"/>
    </row>
    <row r="46" spans="3:22" ht="15">
      <c r="C46" s="856" t="s">
        <v>100</v>
      </c>
      <c r="D46" s="847"/>
      <c r="E46" s="861">
        <v>0</v>
      </c>
      <c r="F46" s="860">
        <f>IF(' Summary'!$J32&lt;F34,0,' Summary'!$J30)</f>
        <v>0</v>
      </c>
      <c r="G46" s="860">
        <f>IF(' Summary'!$J32&lt;G34,0,F46*(1+Inflation))</f>
        <v>0</v>
      </c>
      <c r="H46" s="860">
        <f>IF(' Summary'!$J32&lt;H34,0,G46*(1+Inflation))</f>
        <v>0</v>
      </c>
      <c r="I46" s="860">
        <f>IF(' Summary'!$J32&lt;I34,0,H46*(1+Inflation))</f>
        <v>0</v>
      </c>
      <c r="J46" s="860">
        <f>IF(' Summary'!$J32&lt;J34,0,I46*(1+Inflation))</f>
        <v>0</v>
      </c>
      <c r="K46" s="860">
        <f>IF(' Summary'!$J32&lt;K34,0,J46*(1+Inflation))</f>
        <v>0</v>
      </c>
      <c r="L46" s="860">
        <f>IF(' Summary'!$J32&lt;L34,0,K46*(1+Inflation))</f>
        <v>0</v>
      </c>
      <c r="M46" s="860">
        <f>IF(' Summary'!$J32&lt;M34,0,L46*(1+Inflation))</f>
        <v>0</v>
      </c>
      <c r="N46" s="860">
        <f>IF(' Summary'!$J32&lt;N34,0,M46*(1+Inflation))</f>
        <v>0</v>
      </c>
      <c r="O46" s="860">
        <f>IF(' Summary'!$J32&lt;O34,0,N46*(1+Inflation))</f>
        <v>0</v>
      </c>
      <c r="P46" s="858">
        <f t="shared" si="12"/>
        <v>0</v>
      </c>
      <c r="Q46" s="772"/>
      <c r="R46" s="772"/>
      <c r="S46" s="772"/>
      <c r="T46" s="772"/>
      <c r="U46" s="118"/>
      <c r="V46" s="118"/>
    </row>
    <row r="47" spans="3:22" ht="15">
      <c r="C47" s="856" t="s">
        <v>384</v>
      </c>
      <c r="D47" s="847"/>
      <c r="E47" s="860">
        <f>' Summary'!F22</f>
        <v>17470</v>
      </c>
      <c r="F47" s="860"/>
      <c r="G47" s="860"/>
      <c r="H47" s="860"/>
      <c r="I47" s="860"/>
      <c r="J47" s="860"/>
      <c r="K47" s="860"/>
      <c r="L47" s="860"/>
      <c r="M47" s="860"/>
      <c r="N47" s="860"/>
      <c r="O47" s="860"/>
      <c r="P47" s="858"/>
      <c r="Q47" s="772"/>
      <c r="R47" s="772"/>
      <c r="S47" s="772"/>
      <c r="T47" s="772"/>
      <c r="U47" s="118"/>
      <c r="V47" s="118"/>
    </row>
    <row r="48" spans="3:22" ht="15">
      <c r="C48" s="856" t="s">
        <v>383</v>
      </c>
      <c r="D48" s="847"/>
      <c r="E48" s="860">
        <f>' Summary'!F9</f>
        <v>357000</v>
      </c>
      <c r="F48" s="860"/>
      <c r="G48" s="860"/>
      <c r="H48" s="860"/>
      <c r="I48" s="860"/>
      <c r="J48" s="860"/>
      <c r="K48" s="860"/>
      <c r="L48" s="860"/>
      <c r="M48" s="860"/>
      <c r="N48" s="860"/>
      <c r="O48" s="860"/>
      <c r="P48" s="858"/>
      <c r="Q48" s="772"/>
      <c r="R48" s="772"/>
      <c r="S48" s="772"/>
      <c r="T48" s="772"/>
      <c r="U48" s="118"/>
      <c r="V48" s="118"/>
    </row>
    <row r="49" spans="3:22" ht="15">
      <c r="C49" s="856" t="s">
        <v>38</v>
      </c>
      <c r="D49" s="847"/>
      <c r="E49" s="862">
        <v>0</v>
      </c>
      <c r="F49" s="862">
        <v>0</v>
      </c>
      <c r="G49" s="862">
        <v>0</v>
      </c>
      <c r="H49" s="862">
        <v>0</v>
      </c>
      <c r="I49" s="862">
        <v>0</v>
      </c>
      <c r="J49" s="862">
        <v>0</v>
      </c>
      <c r="K49" s="862">
        <v>0</v>
      </c>
      <c r="L49" s="862">
        <v>0</v>
      </c>
      <c r="M49" s="862">
        <v>0</v>
      </c>
      <c r="N49" s="862">
        <v>0</v>
      </c>
      <c r="O49" s="862">
        <v>0</v>
      </c>
      <c r="P49" s="858">
        <f t="shared" si="12"/>
        <v>0</v>
      </c>
      <c r="Q49" s="772"/>
      <c r="R49" s="772"/>
      <c r="S49" s="772"/>
      <c r="T49" s="772"/>
      <c r="U49" s="118"/>
      <c r="V49" s="118"/>
    </row>
    <row r="50" spans="3:22" ht="15">
      <c r="C50" s="864" t="s">
        <v>106</v>
      </c>
      <c r="D50" s="865"/>
      <c r="E50" s="860">
        <f aca="true" t="shared" si="13" ref="E50:O50">SUM(E45:E49)</f>
        <v>374470</v>
      </c>
      <c r="F50" s="860">
        <f t="shared" si="13"/>
        <v>0</v>
      </c>
      <c r="G50" s="860">
        <f t="shared" si="13"/>
        <v>0</v>
      </c>
      <c r="H50" s="860">
        <f t="shared" si="13"/>
        <v>0</v>
      </c>
      <c r="I50" s="860">
        <f t="shared" si="13"/>
        <v>0</v>
      </c>
      <c r="J50" s="860">
        <f t="shared" si="13"/>
        <v>0</v>
      </c>
      <c r="K50" s="860">
        <f t="shared" si="13"/>
        <v>0</v>
      </c>
      <c r="L50" s="860">
        <f t="shared" si="13"/>
        <v>0</v>
      </c>
      <c r="M50" s="860">
        <f t="shared" si="13"/>
        <v>0</v>
      </c>
      <c r="N50" s="860">
        <f t="shared" si="13"/>
        <v>0</v>
      </c>
      <c r="O50" s="860">
        <f t="shared" si="13"/>
        <v>0</v>
      </c>
      <c r="P50" s="858">
        <f t="shared" si="12"/>
        <v>374470</v>
      </c>
      <c r="Q50" s="772"/>
      <c r="R50" s="772"/>
      <c r="S50" s="772"/>
      <c r="T50" s="772"/>
      <c r="U50" s="118"/>
      <c r="V50" s="118"/>
    </row>
    <row r="51" spans="3:22" ht="15">
      <c r="C51" s="856"/>
      <c r="D51" s="847"/>
      <c r="E51" s="860"/>
      <c r="F51" s="860"/>
      <c r="G51" s="860"/>
      <c r="H51" s="860"/>
      <c r="I51" s="860"/>
      <c r="J51" s="860"/>
      <c r="K51" s="860"/>
      <c r="L51" s="860"/>
      <c r="M51" s="860"/>
      <c r="N51" s="860"/>
      <c r="O51" s="860"/>
      <c r="P51" s="858"/>
      <c r="Q51" s="772"/>
      <c r="R51" s="772"/>
      <c r="S51" s="772"/>
      <c r="T51" s="772"/>
      <c r="U51" s="118"/>
      <c r="V51" s="118"/>
    </row>
    <row r="52" spans="3:22" ht="15">
      <c r="C52" s="856" t="s">
        <v>107</v>
      </c>
      <c r="D52" s="847"/>
      <c r="E52" s="860" t="e">
        <f aca="true" t="shared" si="14" ref="E52:O52">E43-E50</f>
        <v>#VALUE!</v>
      </c>
      <c r="F52" s="860">
        <f t="shared" si="14"/>
        <v>0</v>
      </c>
      <c r="G52" s="860">
        <f t="shared" si="14"/>
        <v>0</v>
      </c>
      <c r="H52" s="860">
        <f t="shared" si="14"/>
        <v>0</v>
      </c>
      <c r="I52" s="860">
        <f t="shared" si="14"/>
        <v>0</v>
      </c>
      <c r="J52" s="860">
        <f t="shared" si="14"/>
        <v>0</v>
      </c>
      <c r="K52" s="860">
        <f t="shared" si="14"/>
        <v>0</v>
      </c>
      <c r="L52" s="860">
        <f t="shared" si="14"/>
        <v>0</v>
      </c>
      <c r="M52" s="860">
        <f t="shared" si="14"/>
        <v>0</v>
      </c>
      <c r="N52" s="860">
        <f t="shared" si="14"/>
        <v>0</v>
      </c>
      <c r="O52" s="860">
        <f t="shared" si="14"/>
        <v>0</v>
      </c>
      <c r="P52" s="858" t="e">
        <f>SUM(E52:O52)</f>
        <v>#VALUE!</v>
      </c>
      <c r="Q52" s="772"/>
      <c r="R52" s="772"/>
      <c r="S52" s="772"/>
      <c r="T52" s="772"/>
      <c r="U52" s="118"/>
      <c r="V52" s="118"/>
    </row>
    <row r="53" spans="3:22" ht="15">
      <c r="C53" s="856" t="s">
        <v>108</v>
      </c>
      <c r="D53" s="847"/>
      <c r="E53" s="860" t="e">
        <f>E52</f>
        <v>#VALUE!</v>
      </c>
      <c r="F53" s="860" t="e">
        <f aca="true" t="shared" si="15" ref="F53:O53">IF(E53&lt;0,E53+F52,F52)</f>
        <v>#VALUE!</v>
      </c>
      <c r="G53" s="860" t="e">
        <f t="shared" si="15"/>
        <v>#VALUE!</v>
      </c>
      <c r="H53" s="860" t="e">
        <f t="shared" si="15"/>
        <v>#VALUE!</v>
      </c>
      <c r="I53" s="860" t="e">
        <f t="shared" si="15"/>
        <v>#VALUE!</v>
      </c>
      <c r="J53" s="860" t="e">
        <f t="shared" si="15"/>
        <v>#VALUE!</v>
      </c>
      <c r="K53" s="860" t="e">
        <f t="shared" si="15"/>
        <v>#VALUE!</v>
      </c>
      <c r="L53" s="860" t="e">
        <f t="shared" si="15"/>
        <v>#VALUE!</v>
      </c>
      <c r="M53" s="860" t="e">
        <f t="shared" si="15"/>
        <v>#VALUE!</v>
      </c>
      <c r="N53" s="860" t="e">
        <f t="shared" si="15"/>
        <v>#VALUE!</v>
      </c>
      <c r="O53" s="860" t="e">
        <f t="shared" si="15"/>
        <v>#VALUE!</v>
      </c>
      <c r="P53" s="858" t="e">
        <f>SUM(E53:O53)</f>
        <v>#VALUE!</v>
      </c>
      <c r="Q53" s="772"/>
      <c r="R53" s="772"/>
      <c r="S53" s="772"/>
      <c r="T53" s="772"/>
      <c r="U53" s="118"/>
      <c r="V53" s="118"/>
    </row>
    <row r="54" spans="3:22" ht="15">
      <c r="C54" s="856" t="s">
        <v>109</v>
      </c>
      <c r="D54" s="847"/>
      <c r="E54" s="860" t="e">
        <f>IF(E53&gt;0,E53*' Summary'!$J21,0)</f>
        <v>#VALUE!</v>
      </c>
      <c r="F54" s="860" t="e">
        <f>IF(F53&gt;0,F53*' Summary'!$J21,0)</f>
        <v>#VALUE!</v>
      </c>
      <c r="G54" s="860" t="e">
        <f>IF(G53&gt;0,G53*' Summary'!$J21,0)</f>
        <v>#VALUE!</v>
      </c>
      <c r="H54" s="860" t="e">
        <f>IF(H53&gt;0,H53*' Summary'!$J21,0)</f>
        <v>#VALUE!</v>
      </c>
      <c r="I54" s="860" t="e">
        <f>IF(I53&gt;0,I53*' Summary'!$J21,0)</f>
        <v>#VALUE!</v>
      </c>
      <c r="J54" s="860" t="e">
        <f>IF(J53&gt;0,J53*' Summary'!$J21,0)</f>
        <v>#VALUE!</v>
      </c>
      <c r="K54" s="860" t="e">
        <f>IF(K53&gt;0,K53*' Summary'!$J21,0)</f>
        <v>#VALUE!</v>
      </c>
      <c r="L54" s="860" t="e">
        <f>IF(L53&gt;0,L53*' Summary'!$J21,0)</f>
        <v>#VALUE!</v>
      </c>
      <c r="M54" s="860" t="e">
        <f>IF(M53&gt;0,M53*' Summary'!$J21,0)</f>
        <v>#VALUE!</v>
      </c>
      <c r="N54" s="860" t="e">
        <f>IF(N53&gt;0,N53*' Summary'!$J21,0)</f>
        <v>#VALUE!</v>
      </c>
      <c r="O54" s="860" t="e">
        <f>IF(O53&gt;0,O53*' Summary'!$J21,0)</f>
        <v>#VALUE!</v>
      </c>
      <c r="P54" s="858" t="e">
        <f>SUM(E54:O54)</f>
        <v>#VALUE!</v>
      </c>
      <c r="Q54" s="772"/>
      <c r="R54" s="772"/>
      <c r="S54" s="772"/>
      <c r="T54" s="772"/>
      <c r="U54" s="118"/>
      <c r="V54" s="118"/>
    </row>
    <row r="55" spans="3:22" ht="15">
      <c r="C55" s="864" t="s">
        <v>110</v>
      </c>
      <c r="D55" s="865"/>
      <c r="E55" s="860" t="e">
        <f aca="true" t="shared" si="16" ref="E55:O55">E52-E54</f>
        <v>#VALUE!</v>
      </c>
      <c r="F55" s="860" t="e">
        <f t="shared" si="16"/>
        <v>#VALUE!</v>
      </c>
      <c r="G55" s="860" t="e">
        <f t="shared" si="16"/>
        <v>#VALUE!</v>
      </c>
      <c r="H55" s="860" t="e">
        <f t="shared" si="16"/>
        <v>#VALUE!</v>
      </c>
      <c r="I55" s="860" t="e">
        <f t="shared" si="16"/>
        <v>#VALUE!</v>
      </c>
      <c r="J55" s="860" t="e">
        <f t="shared" si="16"/>
        <v>#VALUE!</v>
      </c>
      <c r="K55" s="860" t="e">
        <f t="shared" si="16"/>
        <v>#VALUE!</v>
      </c>
      <c r="L55" s="860" t="e">
        <f t="shared" si="16"/>
        <v>#VALUE!</v>
      </c>
      <c r="M55" s="860" t="e">
        <f t="shared" si="16"/>
        <v>#VALUE!</v>
      </c>
      <c r="N55" s="860" t="e">
        <f t="shared" si="16"/>
        <v>#VALUE!</v>
      </c>
      <c r="O55" s="860" t="e">
        <f t="shared" si="16"/>
        <v>#VALUE!</v>
      </c>
      <c r="P55" s="858" t="e">
        <f>SUM(E55:O55)</f>
        <v>#VALUE!</v>
      </c>
      <c r="Q55" s="772"/>
      <c r="R55" s="772"/>
      <c r="S55" s="772"/>
      <c r="T55" s="772"/>
      <c r="U55" s="118"/>
      <c r="V55" s="118"/>
    </row>
    <row r="56" spans="3:22" ht="15">
      <c r="C56" s="867"/>
      <c r="D56" s="868"/>
      <c r="E56" s="860"/>
      <c r="F56" s="860"/>
      <c r="G56" s="860"/>
      <c r="H56" s="860"/>
      <c r="I56" s="860"/>
      <c r="J56" s="860"/>
      <c r="K56" s="860"/>
      <c r="L56" s="860"/>
      <c r="M56" s="860"/>
      <c r="N56" s="860"/>
      <c r="O56" s="860"/>
      <c r="P56" s="858"/>
      <c r="Q56" s="772"/>
      <c r="R56" s="772"/>
      <c r="S56" s="772"/>
      <c r="T56" s="772"/>
      <c r="U56" s="118"/>
      <c r="V56" s="118"/>
    </row>
    <row r="57" spans="3:20" ht="15.75">
      <c r="C57" s="849" t="s">
        <v>360</v>
      </c>
      <c r="D57" s="850"/>
      <c r="E57" s="857"/>
      <c r="F57" s="857"/>
      <c r="G57" s="857"/>
      <c r="H57" s="857"/>
      <c r="I57" s="860"/>
      <c r="J57" s="857"/>
      <c r="K57" s="857"/>
      <c r="L57" s="857"/>
      <c r="M57" s="857"/>
      <c r="N57" s="857"/>
      <c r="O57" s="857"/>
      <c r="P57" s="858"/>
      <c r="Q57" s="772"/>
      <c r="R57" s="772"/>
      <c r="S57" s="772"/>
      <c r="T57" s="772"/>
    </row>
    <row r="58" spans="3:20" ht="15.75">
      <c r="C58" s="853" t="s">
        <v>222</v>
      </c>
      <c r="D58" s="854"/>
      <c r="E58" s="857"/>
      <c r="F58" s="857"/>
      <c r="G58" s="857"/>
      <c r="H58" s="857"/>
      <c r="I58" s="869"/>
      <c r="J58" s="857"/>
      <c r="K58" s="857"/>
      <c r="L58" s="857"/>
      <c r="M58" s="857"/>
      <c r="N58" s="857"/>
      <c r="O58" s="857"/>
      <c r="P58" s="858"/>
      <c r="Q58" s="772"/>
      <c r="R58" s="772"/>
      <c r="S58" s="772"/>
      <c r="T58" s="772"/>
    </row>
    <row r="59" spans="3:20" ht="15">
      <c r="C59" s="870" t="s">
        <v>168</v>
      </c>
      <c r="D59" s="871"/>
      <c r="E59" s="857" t="e">
        <f aca="true" t="shared" si="17" ref="E59:O59">E55</f>
        <v>#VALUE!</v>
      </c>
      <c r="F59" s="857" t="e">
        <f t="shared" si="17"/>
        <v>#VALUE!</v>
      </c>
      <c r="G59" s="857" t="e">
        <f t="shared" si="17"/>
        <v>#VALUE!</v>
      </c>
      <c r="H59" s="857" t="e">
        <f t="shared" si="17"/>
        <v>#VALUE!</v>
      </c>
      <c r="I59" s="857" t="e">
        <f t="shared" si="17"/>
        <v>#VALUE!</v>
      </c>
      <c r="J59" s="857" t="e">
        <f t="shared" si="17"/>
        <v>#VALUE!</v>
      </c>
      <c r="K59" s="857" t="e">
        <f t="shared" si="17"/>
        <v>#VALUE!</v>
      </c>
      <c r="L59" s="857" t="e">
        <f t="shared" si="17"/>
        <v>#VALUE!</v>
      </c>
      <c r="M59" s="857" t="e">
        <f t="shared" si="17"/>
        <v>#VALUE!</v>
      </c>
      <c r="N59" s="857" t="e">
        <f t="shared" si="17"/>
        <v>#VALUE!</v>
      </c>
      <c r="O59" s="857" t="e">
        <f t="shared" si="17"/>
        <v>#VALUE!</v>
      </c>
      <c r="P59" s="858" t="e">
        <f>SUM(E59:O59)</f>
        <v>#VALUE!</v>
      </c>
      <c r="Q59" s="772"/>
      <c r="R59" s="772"/>
      <c r="S59" s="772"/>
      <c r="T59" s="772"/>
    </row>
    <row r="60" spans="3:60" ht="15">
      <c r="C60" s="856" t="s">
        <v>38</v>
      </c>
      <c r="D60" s="847"/>
      <c r="E60" s="872">
        <v>0</v>
      </c>
      <c r="F60" s="872">
        <v>0</v>
      </c>
      <c r="G60" s="872">
        <v>0</v>
      </c>
      <c r="H60" s="872">
        <v>0</v>
      </c>
      <c r="I60" s="872">
        <v>0</v>
      </c>
      <c r="J60" s="872">
        <v>0</v>
      </c>
      <c r="K60" s="872">
        <v>0</v>
      </c>
      <c r="L60" s="872">
        <v>0</v>
      </c>
      <c r="M60" s="872">
        <v>0</v>
      </c>
      <c r="N60" s="872">
        <v>0</v>
      </c>
      <c r="O60" s="872">
        <v>0</v>
      </c>
      <c r="P60" s="863">
        <f>SUM(E60:O60)</f>
        <v>0</v>
      </c>
      <c r="Q60" s="772"/>
      <c r="R60" s="772"/>
      <c r="S60" s="772"/>
      <c r="T60" s="772"/>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row>
    <row r="61" spans="3:60" ht="15">
      <c r="C61" s="864" t="s">
        <v>223</v>
      </c>
      <c r="D61" s="865"/>
      <c r="E61" s="857" t="e">
        <f aca="true" t="shared" si="18" ref="E61:O61">SUM(E59:E60)</f>
        <v>#VALUE!</v>
      </c>
      <c r="F61" s="857" t="e">
        <f t="shared" si="18"/>
        <v>#VALUE!</v>
      </c>
      <c r="G61" s="857" t="e">
        <f t="shared" si="18"/>
        <v>#VALUE!</v>
      </c>
      <c r="H61" s="857" t="e">
        <f t="shared" si="18"/>
        <v>#VALUE!</v>
      </c>
      <c r="I61" s="857" t="e">
        <f t="shared" si="18"/>
        <v>#VALUE!</v>
      </c>
      <c r="J61" s="857" t="e">
        <f t="shared" si="18"/>
        <v>#VALUE!</v>
      </c>
      <c r="K61" s="857" t="e">
        <f t="shared" si="18"/>
        <v>#VALUE!</v>
      </c>
      <c r="L61" s="857" t="e">
        <f t="shared" si="18"/>
        <v>#VALUE!</v>
      </c>
      <c r="M61" s="857" t="e">
        <f t="shared" si="18"/>
        <v>#VALUE!</v>
      </c>
      <c r="N61" s="857" t="e">
        <f t="shared" si="18"/>
        <v>#VALUE!</v>
      </c>
      <c r="O61" s="857" t="e">
        <f t="shared" si="18"/>
        <v>#VALUE!</v>
      </c>
      <c r="P61" s="858" t="e">
        <f>SUM(E61:O61)</f>
        <v>#VALUE!</v>
      </c>
      <c r="Q61" s="772"/>
      <c r="R61" s="772"/>
      <c r="S61" s="772"/>
      <c r="T61" s="772"/>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row>
    <row r="62" spans="3:60" ht="15">
      <c r="C62" s="873" t="s">
        <v>224</v>
      </c>
      <c r="D62" s="874"/>
      <c r="E62" s="857"/>
      <c r="F62" s="857"/>
      <c r="G62" s="857"/>
      <c r="H62" s="857"/>
      <c r="I62" s="857"/>
      <c r="J62" s="857"/>
      <c r="K62" s="857"/>
      <c r="L62" s="857"/>
      <c r="M62" s="857"/>
      <c r="N62" s="857"/>
      <c r="O62" s="857"/>
      <c r="P62" s="858"/>
      <c r="Q62" s="772"/>
      <c r="R62" s="772"/>
      <c r="S62" s="772"/>
      <c r="T62" s="772"/>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row>
    <row r="63" spans="3:60" ht="15">
      <c r="C63" s="875" t="s">
        <v>226</v>
      </c>
      <c r="D63" s="876"/>
      <c r="E63" s="857"/>
      <c r="F63" s="857">
        <f>-Debt!S44+Debt!M44</f>
        <v>0</v>
      </c>
      <c r="G63" s="857"/>
      <c r="H63" s="857"/>
      <c r="I63" s="857"/>
      <c r="J63" s="857"/>
      <c r="K63" s="857"/>
      <c r="L63" s="857"/>
      <c r="M63" s="857"/>
      <c r="N63" s="857"/>
      <c r="O63" s="857"/>
      <c r="P63" s="858">
        <f>SUM(E63:O63)</f>
        <v>0</v>
      </c>
      <c r="Q63" s="772"/>
      <c r="R63" s="772"/>
      <c r="S63" s="772"/>
      <c r="T63" s="772"/>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row>
    <row r="64" spans="3:60" ht="15">
      <c r="C64" s="877" t="s">
        <v>38</v>
      </c>
      <c r="D64" s="878"/>
      <c r="E64" s="872">
        <v>0</v>
      </c>
      <c r="F64" s="872">
        <v>0</v>
      </c>
      <c r="G64" s="872">
        <v>0</v>
      </c>
      <c r="H64" s="872">
        <v>0</v>
      </c>
      <c r="I64" s="872">
        <v>0</v>
      </c>
      <c r="J64" s="872">
        <v>0</v>
      </c>
      <c r="K64" s="872">
        <v>0</v>
      </c>
      <c r="L64" s="872">
        <v>0</v>
      </c>
      <c r="M64" s="872">
        <v>0</v>
      </c>
      <c r="N64" s="872">
        <v>0</v>
      </c>
      <c r="O64" s="872">
        <v>0</v>
      </c>
      <c r="P64" s="863">
        <f>SUM(E64:O64)</f>
        <v>0</v>
      </c>
      <c r="Q64" s="772"/>
      <c r="R64" s="772"/>
      <c r="S64" s="772"/>
      <c r="T64" s="772"/>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row>
    <row r="65" spans="3:60" ht="15">
      <c r="C65" s="879" t="s">
        <v>223</v>
      </c>
      <c r="D65" s="880"/>
      <c r="E65" s="857">
        <f aca="true" t="shared" si="19" ref="E65:O65">SUM(E63:E64)</f>
        <v>0</v>
      </c>
      <c r="F65" s="857">
        <f t="shared" si="19"/>
        <v>0</v>
      </c>
      <c r="G65" s="857">
        <f t="shared" si="19"/>
        <v>0</v>
      </c>
      <c r="H65" s="857">
        <f t="shared" si="19"/>
        <v>0</v>
      </c>
      <c r="I65" s="857">
        <f t="shared" si="19"/>
        <v>0</v>
      </c>
      <c r="J65" s="857">
        <f t="shared" si="19"/>
        <v>0</v>
      </c>
      <c r="K65" s="857">
        <f t="shared" si="19"/>
        <v>0</v>
      </c>
      <c r="L65" s="857">
        <f t="shared" si="19"/>
        <v>0</v>
      </c>
      <c r="M65" s="857">
        <f t="shared" si="19"/>
        <v>0</v>
      </c>
      <c r="N65" s="857">
        <f t="shared" si="19"/>
        <v>0</v>
      </c>
      <c r="O65" s="857">
        <f t="shared" si="19"/>
        <v>0</v>
      </c>
      <c r="P65" s="858">
        <f>SUM(E65:O65)</f>
        <v>0</v>
      </c>
      <c r="Q65" s="772"/>
      <c r="R65" s="772"/>
      <c r="S65" s="772"/>
      <c r="T65" s="772"/>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row>
    <row r="66" spans="3:60" ht="15">
      <c r="C66" s="879"/>
      <c r="D66" s="880"/>
      <c r="E66" s="857"/>
      <c r="F66" s="857"/>
      <c r="G66" s="857"/>
      <c r="H66" s="857"/>
      <c r="I66" s="857"/>
      <c r="J66" s="857"/>
      <c r="K66" s="857"/>
      <c r="L66" s="857"/>
      <c r="M66" s="857"/>
      <c r="N66" s="857"/>
      <c r="O66" s="857"/>
      <c r="P66" s="858"/>
      <c r="Q66" s="772"/>
      <c r="R66" s="772"/>
      <c r="S66" s="772"/>
      <c r="T66" s="772"/>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row>
    <row r="67" spans="3:60" ht="15">
      <c r="C67" s="881" t="s">
        <v>361</v>
      </c>
      <c r="D67" s="882"/>
      <c r="E67" s="883" t="s">
        <v>139</v>
      </c>
      <c r="F67" s="857"/>
      <c r="G67" s="857"/>
      <c r="H67" s="857"/>
      <c r="I67" s="857"/>
      <c r="J67" s="857"/>
      <c r="K67" s="857"/>
      <c r="L67" s="857"/>
      <c r="M67" s="857"/>
      <c r="N67" s="857"/>
      <c r="O67" s="857"/>
      <c r="P67" s="858"/>
      <c r="Q67" s="772"/>
      <c r="R67" s="772"/>
      <c r="S67" s="772"/>
      <c r="T67" s="772"/>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row>
    <row r="68" spans="3:60" ht="15">
      <c r="C68" s="884" t="s">
        <v>218</v>
      </c>
      <c r="D68" s="885"/>
      <c r="E68" s="857" t="e">
        <f>E61+E65</f>
        <v>#VALUE!</v>
      </c>
      <c r="F68" s="857" t="e">
        <f aca="true" t="shared" si="20" ref="F68:O68">F61+F65</f>
        <v>#VALUE!</v>
      </c>
      <c r="G68" s="857" t="e">
        <f t="shared" si="20"/>
        <v>#VALUE!</v>
      </c>
      <c r="H68" s="857" t="e">
        <f t="shared" si="20"/>
        <v>#VALUE!</v>
      </c>
      <c r="I68" s="857" t="e">
        <f t="shared" si="20"/>
        <v>#VALUE!</v>
      </c>
      <c r="J68" s="857" t="e">
        <f t="shared" si="20"/>
        <v>#VALUE!</v>
      </c>
      <c r="K68" s="857" t="e">
        <f t="shared" si="20"/>
        <v>#VALUE!</v>
      </c>
      <c r="L68" s="857" t="e">
        <f t="shared" si="20"/>
        <v>#VALUE!</v>
      </c>
      <c r="M68" s="857" t="e">
        <f t="shared" si="20"/>
        <v>#VALUE!</v>
      </c>
      <c r="N68" s="857" t="e">
        <f t="shared" si="20"/>
        <v>#VALUE!</v>
      </c>
      <c r="O68" s="857" t="e">
        <f t="shared" si="20"/>
        <v>#VALUE!</v>
      </c>
      <c r="P68" s="858" t="e">
        <f>SUM(E68:O68)</f>
        <v>#VALUE!</v>
      </c>
      <c r="Q68" s="772" t="e">
        <f>SUM(F68:O68)</f>
        <v>#VALUE!</v>
      </c>
      <c r="R68" s="772"/>
      <c r="S68" s="772"/>
      <c r="T68" s="772"/>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row>
    <row r="69" spans="3:60" ht="15" hidden="1">
      <c r="C69" s="884"/>
      <c r="D69" s="885"/>
      <c r="E69" s="886">
        <v>0</v>
      </c>
      <c r="F69" s="887">
        <v>1</v>
      </c>
      <c r="G69" s="888">
        <v>2</v>
      </c>
      <c r="H69" s="888">
        <v>3</v>
      </c>
      <c r="I69" s="888">
        <v>4</v>
      </c>
      <c r="J69" s="888">
        <v>5</v>
      </c>
      <c r="K69" s="888">
        <v>6</v>
      </c>
      <c r="L69" s="888">
        <v>7</v>
      </c>
      <c r="M69" s="888">
        <v>8</v>
      </c>
      <c r="N69" s="888">
        <v>9</v>
      </c>
      <c r="O69" s="888">
        <v>10</v>
      </c>
      <c r="P69" s="858"/>
      <c r="Q69" s="772"/>
      <c r="R69" s="772"/>
      <c r="S69" s="772"/>
      <c r="T69" s="772"/>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row>
    <row r="70" spans="3:60" ht="15">
      <c r="C70" s="884" t="s">
        <v>101</v>
      </c>
      <c r="D70" s="885"/>
      <c r="E70" s="857" t="e">
        <f>E68</f>
        <v>#VALUE!</v>
      </c>
      <c r="F70" s="857" t="e">
        <f aca="true" t="shared" si="21" ref="F70:O70">E70+F68</f>
        <v>#VALUE!</v>
      </c>
      <c r="G70" s="857" t="e">
        <f t="shared" si="21"/>
        <v>#VALUE!</v>
      </c>
      <c r="H70" s="857" t="e">
        <f t="shared" si="21"/>
        <v>#VALUE!</v>
      </c>
      <c r="I70" s="857" t="e">
        <f t="shared" si="21"/>
        <v>#VALUE!</v>
      </c>
      <c r="J70" s="857" t="e">
        <f t="shared" si="21"/>
        <v>#VALUE!</v>
      </c>
      <c r="K70" s="857" t="e">
        <f t="shared" si="21"/>
        <v>#VALUE!</v>
      </c>
      <c r="L70" s="857" t="e">
        <f t="shared" si="21"/>
        <v>#VALUE!</v>
      </c>
      <c r="M70" s="857" t="e">
        <f t="shared" si="21"/>
        <v>#VALUE!</v>
      </c>
      <c r="N70" s="857" t="e">
        <f t="shared" si="21"/>
        <v>#VALUE!</v>
      </c>
      <c r="O70" s="857" t="e">
        <f t="shared" si="21"/>
        <v>#VALUE!</v>
      </c>
      <c r="P70" s="858"/>
      <c r="Q70" s="772" t="e">
        <f>E68+Q68</f>
        <v>#VALUE!</v>
      </c>
      <c r="R70" s="772"/>
      <c r="S70" s="772"/>
      <c r="T70" s="772"/>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row>
    <row r="71" spans="3:60" ht="15" hidden="1">
      <c r="C71" s="871"/>
      <c r="D71" s="871"/>
      <c r="E71" s="886">
        <v>0</v>
      </c>
      <c r="F71" s="887">
        <v>1</v>
      </c>
      <c r="G71" s="888">
        <v>2</v>
      </c>
      <c r="H71" s="888">
        <v>3</v>
      </c>
      <c r="I71" s="888">
        <v>4</v>
      </c>
      <c r="J71" s="888">
        <v>5</v>
      </c>
      <c r="K71" s="888">
        <v>6</v>
      </c>
      <c r="L71" s="888">
        <v>7</v>
      </c>
      <c r="M71" s="888">
        <v>8</v>
      </c>
      <c r="N71" s="888">
        <v>9</v>
      </c>
      <c r="O71" s="888">
        <v>10</v>
      </c>
      <c r="P71" s="889"/>
      <c r="Q71" s="772"/>
      <c r="R71" s="772"/>
      <c r="S71" s="772"/>
      <c r="T71" s="772"/>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row>
    <row r="72" spans="3:20" ht="15">
      <c r="C72" s="884" t="s">
        <v>138</v>
      </c>
      <c r="D72" s="885"/>
      <c r="E72" s="860"/>
      <c r="F72" s="890" t="e">
        <f>IRR(E68:O68)</f>
        <v>#VALUE!</v>
      </c>
      <c r="G72" s="860"/>
      <c r="H72" s="860"/>
      <c r="I72" s="860"/>
      <c r="J72" s="860"/>
      <c r="K72" s="860"/>
      <c r="L72" s="860"/>
      <c r="M72" s="860"/>
      <c r="N72" s="860"/>
      <c r="O72" s="860"/>
      <c r="P72" s="858"/>
      <c r="Q72" s="772"/>
      <c r="R72" s="772"/>
      <c r="S72" s="772"/>
      <c r="T72" s="772"/>
    </row>
    <row r="73" spans="3:20" ht="15.75" thickBot="1">
      <c r="C73" s="891" t="s">
        <v>251</v>
      </c>
      <c r="D73" s="892"/>
      <c r="E73" s="893">
        <f>' Summary'!C18</f>
        <v>0</v>
      </c>
      <c r="F73" s="894" t="e">
        <f>NPV(E73,F68:O68)+E68</f>
        <v>#VALUE!</v>
      </c>
      <c r="G73" s="895"/>
      <c r="H73" s="895"/>
      <c r="I73" s="895"/>
      <c r="J73" s="895"/>
      <c r="K73" s="895"/>
      <c r="L73" s="895"/>
      <c r="M73" s="895"/>
      <c r="N73" s="895"/>
      <c r="O73" s="895"/>
      <c r="P73" s="896"/>
      <c r="Q73" s="772"/>
      <c r="R73" s="772"/>
      <c r="S73" s="772"/>
      <c r="T73" s="772"/>
    </row>
    <row r="74" spans="6:21" ht="15">
      <c r="F74" s="291"/>
      <c r="Q74" s="772"/>
      <c r="R74" s="772"/>
      <c r="S74" s="772"/>
      <c r="T74" s="773" t="s">
        <v>288</v>
      </c>
      <c r="U74" t="e">
        <f>HLOOKUP(E71,E70:O71,2)</f>
        <v>#N/A</v>
      </c>
    </row>
    <row r="75" spans="3:21" ht="15">
      <c r="C75" s="25"/>
      <c r="D75" s="25"/>
      <c r="E75" s="107"/>
      <c r="F75" s="107"/>
      <c r="G75" s="107"/>
      <c r="H75" s="107"/>
      <c r="I75" s="107"/>
      <c r="J75" s="107"/>
      <c r="K75" s="107"/>
      <c r="L75" s="107"/>
      <c r="M75" s="107"/>
      <c r="N75" s="107"/>
      <c r="O75" s="107"/>
      <c r="P75" s="107"/>
      <c r="Q75" s="772"/>
      <c r="R75" s="772"/>
      <c r="S75" s="772"/>
      <c r="T75" s="773" t="s">
        <v>289</v>
      </c>
      <c r="U75" t="e">
        <f>U74+1</f>
        <v>#N/A</v>
      </c>
    </row>
    <row r="76" spans="4:19" ht="15.75" thickBot="1">
      <c r="D76" s="945"/>
      <c r="E76" s="946"/>
      <c r="F76" s="946"/>
      <c r="G76" s="107"/>
      <c r="H76" s="107"/>
      <c r="I76" s="137"/>
      <c r="J76" s="107"/>
      <c r="K76" s="107"/>
      <c r="L76" s="107"/>
      <c r="M76" s="107"/>
      <c r="N76" s="107"/>
      <c r="O76" s="107"/>
      <c r="P76" s="137"/>
      <c r="Q76" s="137"/>
      <c r="R76" s="772"/>
      <c r="S76" s="772"/>
    </row>
    <row r="77" spans="3:21" ht="15">
      <c r="C77" s="1114" t="s">
        <v>362</v>
      </c>
      <c r="D77" s="897" t="s">
        <v>248</v>
      </c>
      <c r="E77" s="947" t="str">
        <f>E33</f>
        <v>Construction</v>
      </c>
      <c r="F77" s="947" t="str">
        <f>F33</f>
        <v>Operations</v>
      </c>
      <c r="G77" s="898"/>
      <c r="H77" s="898"/>
      <c r="I77" s="898"/>
      <c r="J77" s="898"/>
      <c r="K77" s="898"/>
      <c r="L77" s="898"/>
      <c r="M77" s="898"/>
      <c r="N77" s="898"/>
      <c r="O77" s="899"/>
      <c r="P77" s="137"/>
      <c r="Q77" s="137"/>
      <c r="R77" s="772"/>
      <c r="S77" s="772"/>
      <c r="T77" s="773" t="s">
        <v>291</v>
      </c>
      <c r="U77" s="772" t="e">
        <f>HLOOKUP(U74,E70:O71,1)</f>
        <v>#N/A</v>
      </c>
    </row>
    <row r="78" spans="3:21" ht="15.75" thickBot="1">
      <c r="C78" s="1115"/>
      <c r="D78" s="900"/>
      <c r="E78" s="901"/>
      <c r="F78" s="902">
        <f aca="true" t="shared" si="22" ref="F78:O78">F34</f>
        <v>1</v>
      </c>
      <c r="G78" s="902">
        <f t="shared" si="22"/>
        <v>2</v>
      </c>
      <c r="H78" s="902">
        <f t="shared" si="22"/>
        <v>3</v>
      </c>
      <c r="I78" s="902">
        <f t="shared" si="22"/>
        <v>4</v>
      </c>
      <c r="J78" s="902">
        <f t="shared" si="22"/>
        <v>5</v>
      </c>
      <c r="K78" s="902">
        <f t="shared" si="22"/>
        <v>6</v>
      </c>
      <c r="L78" s="902">
        <f t="shared" si="22"/>
        <v>7</v>
      </c>
      <c r="M78" s="902">
        <f t="shared" si="22"/>
        <v>8</v>
      </c>
      <c r="N78" s="902">
        <f t="shared" si="22"/>
        <v>9</v>
      </c>
      <c r="O78" s="903">
        <f t="shared" si="22"/>
        <v>10</v>
      </c>
      <c r="P78" s="137"/>
      <c r="Q78" s="137"/>
      <c r="R78" s="772"/>
      <c r="S78" s="772"/>
      <c r="T78" s="773" t="s">
        <v>290</v>
      </c>
      <c r="U78" s="772" t="e">
        <f>HLOOKUP(U75,E69:O71,2)</f>
        <v>#N/A</v>
      </c>
    </row>
    <row r="79" spans="3:21" ht="15">
      <c r="C79" s="904" t="s">
        <v>156</v>
      </c>
      <c r="D79" s="905"/>
      <c r="E79" s="906"/>
      <c r="F79" s="860"/>
      <c r="G79" s="860"/>
      <c r="H79" s="860"/>
      <c r="I79" s="860"/>
      <c r="J79" s="860"/>
      <c r="K79" s="860"/>
      <c r="L79" s="860"/>
      <c r="M79" s="860"/>
      <c r="N79" s="860"/>
      <c r="O79" s="858"/>
      <c r="P79" s="137"/>
      <c r="Q79" s="137"/>
      <c r="R79" s="772"/>
      <c r="S79" s="772"/>
      <c r="T79" s="772"/>
      <c r="U79" t="e">
        <f>-U77/(U78-U77)</f>
        <v>#N/A</v>
      </c>
    </row>
    <row r="80" spans="3:21" ht="15">
      <c r="C80" s="907" t="s">
        <v>145</v>
      </c>
      <c r="D80" s="908">
        <f>' Summary'!J40</f>
        <v>0</v>
      </c>
      <c r="E80" s="906" t="e">
        <f>$D80+E55</f>
        <v>#VALUE!</v>
      </c>
      <c r="F80" s="906" t="e">
        <f>$D80+F55</f>
        <v>#VALUE!</v>
      </c>
      <c r="G80" s="906" t="e">
        <f aca="true" t="shared" si="23" ref="G80:O80">$D80+G55</f>
        <v>#VALUE!</v>
      </c>
      <c r="H80" s="906" t="e">
        <f t="shared" si="23"/>
        <v>#VALUE!</v>
      </c>
      <c r="I80" s="906" t="e">
        <f t="shared" si="23"/>
        <v>#VALUE!</v>
      </c>
      <c r="J80" s="906" t="e">
        <f t="shared" si="23"/>
        <v>#VALUE!</v>
      </c>
      <c r="K80" s="906" t="e">
        <f t="shared" si="23"/>
        <v>#VALUE!</v>
      </c>
      <c r="L80" s="906" t="e">
        <f t="shared" si="23"/>
        <v>#VALUE!</v>
      </c>
      <c r="M80" s="906" t="e">
        <f t="shared" si="23"/>
        <v>#VALUE!</v>
      </c>
      <c r="N80" s="906" t="e">
        <f t="shared" si="23"/>
        <v>#VALUE!</v>
      </c>
      <c r="O80" s="909" t="e">
        <f t="shared" si="23"/>
        <v>#VALUE!</v>
      </c>
      <c r="P80" s="137"/>
      <c r="Q80" s="137"/>
      <c r="R80" s="772"/>
      <c r="S80" s="772"/>
      <c r="T80" s="774" t="s">
        <v>292</v>
      </c>
      <c r="U80" t="e">
        <f>U74+U79</f>
        <v>#N/A</v>
      </c>
    </row>
    <row r="81" spans="3:20" ht="15">
      <c r="C81" s="907" t="s">
        <v>186</v>
      </c>
      <c r="D81" s="908">
        <f>' Summary'!J41</f>
        <v>0</v>
      </c>
      <c r="E81" s="906">
        <f>$D81+E45+E46+E49</f>
        <v>0</v>
      </c>
      <c r="F81" s="906">
        <f>$D81+F45+F46+F49</f>
        <v>0</v>
      </c>
      <c r="G81" s="906">
        <f aca="true" t="shared" si="24" ref="G81:O81">$D81+G45+G46+G49</f>
        <v>0</v>
      </c>
      <c r="H81" s="906">
        <f t="shared" si="24"/>
        <v>0</v>
      </c>
      <c r="I81" s="906">
        <f t="shared" si="24"/>
        <v>0</v>
      </c>
      <c r="J81" s="906">
        <f t="shared" si="24"/>
        <v>0</v>
      </c>
      <c r="K81" s="906">
        <f t="shared" si="24"/>
        <v>0</v>
      </c>
      <c r="L81" s="906">
        <f t="shared" si="24"/>
        <v>0</v>
      </c>
      <c r="M81" s="906">
        <f t="shared" si="24"/>
        <v>0</v>
      </c>
      <c r="N81" s="906">
        <f t="shared" si="24"/>
        <v>0</v>
      </c>
      <c r="O81" s="909">
        <f t="shared" si="24"/>
        <v>0</v>
      </c>
      <c r="P81" s="137"/>
      <c r="Q81" s="137"/>
      <c r="R81" s="772"/>
      <c r="S81" s="772"/>
      <c r="T81" s="772"/>
    </row>
    <row r="82" spans="3:20" ht="15">
      <c r="C82" s="907" t="s">
        <v>23</v>
      </c>
      <c r="D82" s="908">
        <f>' Summary'!J43</f>
        <v>0</v>
      </c>
      <c r="E82" s="906">
        <f>$D82</f>
        <v>0</v>
      </c>
      <c r="F82" s="906">
        <f>$D82</f>
        <v>0</v>
      </c>
      <c r="G82" s="906">
        <f aca="true" t="shared" si="25" ref="G82:O82">$D82</f>
        <v>0</v>
      </c>
      <c r="H82" s="906">
        <f t="shared" si="25"/>
        <v>0</v>
      </c>
      <c r="I82" s="906">
        <f t="shared" si="25"/>
        <v>0</v>
      </c>
      <c r="J82" s="906">
        <f t="shared" si="25"/>
        <v>0</v>
      </c>
      <c r="K82" s="906">
        <f t="shared" si="25"/>
        <v>0</v>
      </c>
      <c r="L82" s="906">
        <f t="shared" si="25"/>
        <v>0</v>
      </c>
      <c r="M82" s="906">
        <f t="shared" si="25"/>
        <v>0</v>
      </c>
      <c r="N82" s="906">
        <f t="shared" si="25"/>
        <v>0</v>
      </c>
      <c r="O82" s="909">
        <f t="shared" si="25"/>
        <v>0</v>
      </c>
      <c r="P82" s="137"/>
      <c r="Q82" s="137"/>
      <c r="R82" s="772"/>
      <c r="S82" s="772"/>
      <c r="T82" s="772"/>
    </row>
    <row r="83" spans="3:20" ht="15">
      <c r="C83" s="907" t="s">
        <v>185</v>
      </c>
      <c r="D83" s="908">
        <f>' Summary'!J44</f>
        <v>0</v>
      </c>
      <c r="E83" s="906">
        <f aca="true" t="shared" si="26" ref="E83:O83">$D83</f>
        <v>0</v>
      </c>
      <c r="F83" s="906">
        <f t="shared" si="26"/>
        <v>0</v>
      </c>
      <c r="G83" s="906">
        <f t="shared" si="26"/>
        <v>0</v>
      </c>
      <c r="H83" s="906">
        <f t="shared" si="26"/>
        <v>0</v>
      </c>
      <c r="I83" s="906">
        <f t="shared" si="26"/>
        <v>0</v>
      </c>
      <c r="J83" s="906">
        <f t="shared" si="26"/>
        <v>0</v>
      </c>
      <c r="K83" s="906">
        <f t="shared" si="26"/>
        <v>0</v>
      </c>
      <c r="L83" s="906">
        <f t="shared" si="26"/>
        <v>0</v>
      </c>
      <c r="M83" s="906">
        <f t="shared" si="26"/>
        <v>0</v>
      </c>
      <c r="N83" s="906">
        <f t="shared" si="26"/>
        <v>0</v>
      </c>
      <c r="O83" s="909">
        <f t="shared" si="26"/>
        <v>0</v>
      </c>
      <c r="P83" s="137"/>
      <c r="Q83" s="137"/>
      <c r="R83" s="772"/>
      <c r="S83" s="772"/>
      <c r="T83" s="772"/>
    </row>
    <row r="84" spans="3:20" ht="15">
      <c r="C84" s="910" t="s">
        <v>164</v>
      </c>
      <c r="D84" s="911">
        <f aca="true" t="shared" si="27" ref="D84:O84">D80-D81-D82-D83</f>
        <v>0</v>
      </c>
      <c r="E84" s="911" t="e">
        <f t="shared" si="27"/>
        <v>#VALUE!</v>
      </c>
      <c r="F84" s="911" t="e">
        <f t="shared" si="27"/>
        <v>#VALUE!</v>
      </c>
      <c r="G84" s="911" t="e">
        <f t="shared" si="27"/>
        <v>#VALUE!</v>
      </c>
      <c r="H84" s="911" t="e">
        <f t="shared" si="27"/>
        <v>#VALUE!</v>
      </c>
      <c r="I84" s="911" t="e">
        <f t="shared" si="27"/>
        <v>#VALUE!</v>
      </c>
      <c r="J84" s="911" t="e">
        <f t="shared" si="27"/>
        <v>#VALUE!</v>
      </c>
      <c r="K84" s="911" t="e">
        <f t="shared" si="27"/>
        <v>#VALUE!</v>
      </c>
      <c r="L84" s="911" t="e">
        <f t="shared" si="27"/>
        <v>#VALUE!</v>
      </c>
      <c r="M84" s="911" t="e">
        <f t="shared" si="27"/>
        <v>#VALUE!</v>
      </c>
      <c r="N84" s="911" t="e">
        <f t="shared" si="27"/>
        <v>#VALUE!</v>
      </c>
      <c r="O84" s="912" t="e">
        <f t="shared" si="27"/>
        <v>#VALUE!</v>
      </c>
      <c r="P84" s="137"/>
      <c r="Q84" s="137"/>
      <c r="R84" s="772"/>
      <c r="S84" s="772"/>
      <c r="T84" s="772"/>
    </row>
    <row r="85" spans="3:20" ht="15">
      <c r="C85" s="907" t="s">
        <v>207</v>
      </c>
      <c r="D85" s="908">
        <f>' Summary'!J42</f>
        <v>0</v>
      </c>
      <c r="E85" s="906">
        <f>$D85+E47</f>
        <v>17470</v>
      </c>
      <c r="F85" s="906">
        <f>$D85</f>
        <v>0</v>
      </c>
      <c r="G85" s="906">
        <f aca="true" t="shared" si="28" ref="G85:O85">$D85</f>
        <v>0</v>
      </c>
      <c r="H85" s="906">
        <f t="shared" si="28"/>
        <v>0</v>
      </c>
      <c r="I85" s="906">
        <f t="shared" si="28"/>
        <v>0</v>
      </c>
      <c r="J85" s="906">
        <f t="shared" si="28"/>
        <v>0</v>
      </c>
      <c r="K85" s="906">
        <f t="shared" si="28"/>
        <v>0</v>
      </c>
      <c r="L85" s="906">
        <f t="shared" si="28"/>
        <v>0</v>
      </c>
      <c r="M85" s="906">
        <f t="shared" si="28"/>
        <v>0</v>
      </c>
      <c r="N85" s="906">
        <f t="shared" si="28"/>
        <v>0</v>
      </c>
      <c r="O85" s="909">
        <f t="shared" si="28"/>
        <v>0</v>
      </c>
      <c r="P85" s="137"/>
      <c r="Q85" s="137"/>
      <c r="R85" s="772"/>
      <c r="S85" s="772"/>
      <c r="T85" s="772"/>
    </row>
    <row r="86" spans="3:20" ht="15">
      <c r="C86" s="913" t="s">
        <v>249</v>
      </c>
      <c r="D86" s="911">
        <f aca="true" t="shared" si="29" ref="D86:O86">D84-D85</f>
        <v>0</v>
      </c>
      <c r="E86" s="911" t="e">
        <f t="shared" si="29"/>
        <v>#VALUE!</v>
      </c>
      <c r="F86" s="911" t="e">
        <f t="shared" si="29"/>
        <v>#VALUE!</v>
      </c>
      <c r="G86" s="911" t="e">
        <f t="shared" si="29"/>
        <v>#VALUE!</v>
      </c>
      <c r="H86" s="911" t="e">
        <f t="shared" si="29"/>
        <v>#VALUE!</v>
      </c>
      <c r="I86" s="911" t="e">
        <f t="shared" si="29"/>
        <v>#VALUE!</v>
      </c>
      <c r="J86" s="911" t="e">
        <f t="shared" si="29"/>
        <v>#VALUE!</v>
      </c>
      <c r="K86" s="911" t="e">
        <f t="shared" si="29"/>
        <v>#VALUE!</v>
      </c>
      <c r="L86" s="911" t="e">
        <f t="shared" si="29"/>
        <v>#VALUE!</v>
      </c>
      <c r="M86" s="911" t="e">
        <f t="shared" si="29"/>
        <v>#VALUE!</v>
      </c>
      <c r="N86" s="911" t="e">
        <f t="shared" si="29"/>
        <v>#VALUE!</v>
      </c>
      <c r="O86" s="912" t="e">
        <f t="shared" si="29"/>
        <v>#VALUE!</v>
      </c>
      <c r="P86" s="137"/>
      <c r="Q86" s="137"/>
      <c r="R86" s="772"/>
      <c r="S86" s="772"/>
      <c r="T86" s="772"/>
    </row>
    <row r="87" spans="3:20" ht="15">
      <c r="C87" s="907" t="s">
        <v>163</v>
      </c>
      <c r="D87" s="908">
        <f>D86*' Summary'!J21</f>
        <v>0</v>
      </c>
      <c r="E87" s="906" t="e">
        <f>$D87+E54</f>
        <v>#VALUE!</v>
      </c>
      <c r="F87" s="906" t="e">
        <f>$D87+F54</f>
        <v>#VALUE!</v>
      </c>
      <c r="G87" s="906" t="e">
        <f aca="true" t="shared" si="30" ref="G87:O87">$D87+G54</f>
        <v>#VALUE!</v>
      </c>
      <c r="H87" s="906" t="e">
        <f t="shared" si="30"/>
        <v>#VALUE!</v>
      </c>
      <c r="I87" s="906" t="e">
        <f t="shared" si="30"/>
        <v>#VALUE!</v>
      </c>
      <c r="J87" s="906" t="e">
        <f t="shared" si="30"/>
        <v>#VALUE!</v>
      </c>
      <c r="K87" s="906" t="e">
        <f t="shared" si="30"/>
        <v>#VALUE!</v>
      </c>
      <c r="L87" s="906" t="e">
        <f t="shared" si="30"/>
        <v>#VALUE!</v>
      </c>
      <c r="M87" s="906" t="e">
        <f t="shared" si="30"/>
        <v>#VALUE!</v>
      </c>
      <c r="N87" s="906" t="e">
        <f t="shared" si="30"/>
        <v>#VALUE!</v>
      </c>
      <c r="O87" s="909" t="e">
        <f t="shared" si="30"/>
        <v>#VALUE!</v>
      </c>
      <c r="P87" s="137"/>
      <c r="Q87" s="137"/>
      <c r="R87" s="772"/>
      <c r="S87" s="772"/>
      <c r="T87" s="772"/>
    </row>
    <row r="88" spans="3:20" ht="15.75" thickBot="1">
      <c r="C88" s="910" t="s">
        <v>146</v>
      </c>
      <c r="D88" s="911">
        <f aca="true" t="shared" si="31" ref="D88:O88">D86-D87</f>
        <v>0</v>
      </c>
      <c r="E88" s="911" t="e">
        <f t="shared" si="31"/>
        <v>#VALUE!</v>
      </c>
      <c r="F88" s="911" t="e">
        <f t="shared" si="31"/>
        <v>#VALUE!</v>
      </c>
      <c r="G88" s="911" t="e">
        <f t="shared" si="31"/>
        <v>#VALUE!</v>
      </c>
      <c r="H88" s="911" t="e">
        <f t="shared" si="31"/>
        <v>#VALUE!</v>
      </c>
      <c r="I88" s="911" t="e">
        <f t="shared" si="31"/>
        <v>#VALUE!</v>
      </c>
      <c r="J88" s="911" t="e">
        <f t="shared" si="31"/>
        <v>#VALUE!</v>
      </c>
      <c r="K88" s="911" t="e">
        <f t="shared" si="31"/>
        <v>#VALUE!</v>
      </c>
      <c r="L88" s="911" t="e">
        <f t="shared" si="31"/>
        <v>#VALUE!</v>
      </c>
      <c r="M88" s="911" t="e">
        <f t="shared" si="31"/>
        <v>#VALUE!</v>
      </c>
      <c r="N88" s="911" t="e">
        <f t="shared" si="31"/>
        <v>#VALUE!</v>
      </c>
      <c r="O88" s="912" t="e">
        <f t="shared" si="31"/>
        <v>#VALUE!</v>
      </c>
      <c r="P88" s="137"/>
      <c r="Q88" s="137"/>
      <c r="R88" s="772"/>
      <c r="S88" s="772"/>
      <c r="T88" s="772"/>
    </row>
    <row r="89" spans="3:20" ht="15.75" thickBot="1">
      <c r="C89" s="914"/>
      <c r="D89" s="915"/>
      <c r="E89" s="916"/>
      <c r="F89" s="917"/>
      <c r="G89" s="917"/>
      <c r="H89" s="917"/>
      <c r="I89" s="917"/>
      <c r="J89" s="917"/>
      <c r="K89" s="917"/>
      <c r="L89" s="917"/>
      <c r="M89" s="917"/>
      <c r="N89" s="917"/>
      <c r="O89" s="918"/>
      <c r="P89" s="137"/>
      <c r="Q89" s="137"/>
      <c r="R89" s="772"/>
      <c r="S89" s="772"/>
      <c r="T89" s="772"/>
    </row>
    <row r="90" spans="3:20" ht="15">
      <c r="C90" s="904" t="s">
        <v>155</v>
      </c>
      <c r="D90" s="847"/>
      <c r="E90" s="906"/>
      <c r="F90" s="860"/>
      <c r="G90" s="860"/>
      <c r="H90" s="860"/>
      <c r="I90" s="860"/>
      <c r="J90" s="860"/>
      <c r="K90" s="860"/>
      <c r="L90" s="860"/>
      <c r="M90" s="860"/>
      <c r="N90" s="860"/>
      <c r="O90" s="858"/>
      <c r="P90" s="137"/>
      <c r="Q90" s="137"/>
      <c r="R90" s="772"/>
      <c r="S90" s="772"/>
      <c r="T90" s="772"/>
    </row>
    <row r="91" spans="3:20" ht="15">
      <c r="C91" s="919" t="s">
        <v>159</v>
      </c>
      <c r="D91" s="911">
        <f>D92+D93+D94</f>
        <v>0</v>
      </c>
      <c r="E91" s="911" t="e">
        <f>E92+E93+E94</f>
        <v>#VALUE!</v>
      </c>
      <c r="F91" s="911" t="e">
        <f>F92+F93+F94</f>
        <v>#VALUE!</v>
      </c>
      <c r="G91" s="911" t="e">
        <f aca="true" t="shared" si="32" ref="G91:O91">G92+G93+G94</f>
        <v>#VALUE!</v>
      </c>
      <c r="H91" s="911" t="e">
        <f t="shared" si="32"/>
        <v>#VALUE!</v>
      </c>
      <c r="I91" s="911" t="e">
        <f t="shared" si="32"/>
        <v>#VALUE!</v>
      </c>
      <c r="J91" s="911" t="e">
        <f t="shared" si="32"/>
        <v>#VALUE!</v>
      </c>
      <c r="K91" s="911" t="e">
        <f t="shared" si="32"/>
        <v>#VALUE!</v>
      </c>
      <c r="L91" s="911" t="e">
        <f t="shared" si="32"/>
        <v>#VALUE!</v>
      </c>
      <c r="M91" s="911" t="e">
        <f t="shared" si="32"/>
        <v>#VALUE!</v>
      </c>
      <c r="N91" s="911" t="e">
        <f t="shared" si="32"/>
        <v>#VALUE!</v>
      </c>
      <c r="O91" s="912" t="e">
        <f t="shared" si="32"/>
        <v>#VALUE!</v>
      </c>
      <c r="P91" s="137"/>
      <c r="Q91" s="137"/>
      <c r="R91" s="772"/>
      <c r="S91" s="772"/>
      <c r="T91" s="772"/>
    </row>
    <row r="92" spans="3:17" ht="15">
      <c r="C92" s="920" t="s">
        <v>165</v>
      </c>
      <c r="D92" s="908">
        <f>' Summary'!J46</f>
        <v>0</v>
      </c>
      <c r="E92" s="921">
        <f>$D92+Debt!B67</f>
        <v>414644.7</v>
      </c>
      <c r="F92" s="921">
        <f>$D92</f>
        <v>0</v>
      </c>
      <c r="G92" s="921">
        <f aca="true" t="shared" si="33" ref="G92:O92">$D92</f>
        <v>0</v>
      </c>
      <c r="H92" s="921">
        <f t="shared" si="33"/>
        <v>0</v>
      </c>
      <c r="I92" s="921">
        <f t="shared" si="33"/>
        <v>0</v>
      </c>
      <c r="J92" s="921">
        <f t="shared" si="33"/>
        <v>0</v>
      </c>
      <c r="K92" s="921">
        <f t="shared" si="33"/>
        <v>0</v>
      </c>
      <c r="L92" s="921">
        <f t="shared" si="33"/>
        <v>0</v>
      </c>
      <c r="M92" s="921">
        <f t="shared" si="33"/>
        <v>0</v>
      </c>
      <c r="N92" s="921">
        <f t="shared" si="33"/>
        <v>0</v>
      </c>
      <c r="O92" s="922">
        <f t="shared" si="33"/>
        <v>0</v>
      </c>
      <c r="P92" s="19"/>
      <c r="Q92" s="17"/>
    </row>
    <row r="93" spans="3:17" ht="15">
      <c r="C93" s="920" t="s">
        <v>172</v>
      </c>
      <c r="D93" s="908">
        <f>D112</f>
        <v>0</v>
      </c>
      <c r="E93" s="908" t="e">
        <f>E112</f>
        <v>#VALUE!</v>
      </c>
      <c r="F93" s="908" t="e">
        <f>F112</f>
        <v>#VALUE!</v>
      </c>
      <c r="G93" s="908" t="e">
        <f aca="true" t="shared" si="34" ref="G93:O93">G112</f>
        <v>#VALUE!</v>
      </c>
      <c r="H93" s="908" t="e">
        <f t="shared" si="34"/>
        <v>#VALUE!</v>
      </c>
      <c r="I93" s="908" t="e">
        <f t="shared" si="34"/>
        <v>#VALUE!</v>
      </c>
      <c r="J93" s="908" t="e">
        <f t="shared" si="34"/>
        <v>#VALUE!</v>
      </c>
      <c r="K93" s="908" t="e">
        <f t="shared" si="34"/>
        <v>#VALUE!</v>
      </c>
      <c r="L93" s="908" t="e">
        <f t="shared" si="34"/>
        <v>#VALUE!</v>
      </c>
      <c r="M93" s="908" t="e">
        <f t="shared" si="34"/>
        <v>#VALUE!</v>
      </c>
      <c r="N93" s="908" t="e">
        <f t="shared" si="34"/>
        <v>#VALUE!</v>
      </c>
      <c r="O93" s="923" t="e">
        <f t="shared" si="34"/>
        <v>#VALUE!</v>
      </c>
      <c r="P93" s="19"/>
      <c r="Q93" s="17"/>
    </row>
    <row r="94" spans="3:17" ht="15">
      <c r="C94" s="920" t="s">
        <v>171</v>
      </c>
      <c r="D94" s="908">
        <f>' Summary'!J47</f>
        <v>0</v>
      </c>
      <c r="E94" s="921">
        <f>D94</f>
        <v>0</v>
      </c>
      <c r="F94" s="921">
        <f>E94</f>
        <v>0</v>
      </c>
      <c r="G94" s="921">
        <f aca="true" t="shared" si="35" ref="G94:O94">F94</f>
        <v>0</v>
      </c>
      <c r="H94" s="921">
        <f t="shared" si="35"/>
        <v>0</v>
      </c>
      <c r="I94" s="921">
        <f t="shared" si="35"/>
        <v>0</v>
      </c>
      <c r="J94" s="921">
        <f t="shared" si="35"/>
        <v>0</v>
      </c>
      <c r="K94" s="921">
        <f t="shared" si="35"/>
        <v>0</v>
      </c>
      <c r="L94" s="921">
        <f t="shared" si="35"/>
        <v>0</v>
      </c>
      <c r="M94" s="921">
        <f t="shared" si="35"/>
        <v>0</v>
      </c>
      <c r="N94" s="921">
        <f t="shared" si="35"/>
        <v>0</v>
      </c>
      <c r="O94" s="922">
        <f t="shared" si="35"/>
        <v>0</v>
      </c>
      <c r="P94" s="19"/>
      <c r="Q94" s="17"/>
    </row>
    <row r="95" spans="3:17" ht="15">
      <c r="C95" s="919" t="s">
        <v>160</v>
      </c>
      <c r="D95" s="911">
        <f>D96+D97</f>
        <v>7000000</v>
      </c>
      <c r="E95" s="911">
        <f>E96+E97</f>
        <v>7000000</v>
      </c>
      <c r="F95" s="911">
        <f>F96+F97</f>
        <v>7000000</v>
      </c>
      <c r="G95" s="911">
        <f aca="true" t="shared" si="36" ref="G95:O95">G96+G97</f>
        <v>7000000</v>
      </c>
      <c r="H95" s="911">
        <f t="shared" si="36"/>
        <v>7000000</v>
      </c>
      <c r="I95" s="911">
        <f t="shared" si="36"/>
        <v>7000000</v>
      </c>
      <c r="J95" s="911">
        <f t="shared" si="36"/>
        <v>7000000</v>
      </c>
      <c r="K95" s="911">
        <f t="shared" si="36"/>
        <v>7000000</v>
      </c>
      <c r="L95" s="911">
        <f t="shared" si="36"/>
        <v>7000000</v>
      </c>
      <c r="M95" s="911">
        <f t="shared" si="36"/>
        <v>7000000</v>
      </c>
      <c r="N95" s="911">
        <f t="shared" si="36"/>
        <v>7000000</v>
      </c>
      <c r="O95" s="912">
        <f t="shared" si="36"/>
        <v>7000000</v>
      </c>
      <c r="P95" s="19"/>
      <c r="Q95" s="17"/>
    </row>
    <row r="96" spans="3:17" ht="15">
      <c r="C96" s="920" t="s">
        <v>154</v>
      </c>
      <c r="D96" s="908">
        <f>' Summary'!C47</f>
        <v>5000000</v>
      </c>
      <c r="E96" s="921">
        <f>$D96+Debt!B31</f>
        <v>5000000</v>
      </c>
      <c r="F96" s="921">
        <f>$D96</f>
        <v>5000000</v>
      </c>
      <c r="G96" s="921">
        <f aca="true" t="shared" si="37" ref="G96:O97">$D96</f>
        <v>5000000</v>
      </c>
      <c r="H96" s="921">
        <f t="shared" si="37"/>
        <v>5000000</v>
      </c>
      <c r="I96" s="921">
        <f t="shared" si="37"/>
        <v>5000000</v>
      </c>
      <c r="J96" s="921">
        <f t="shared" si="37"/>
        <v>5000000</v>
      </c>
      <c r="K96" s="921">
        <f t="shared" si="37"/>
        <v>5000000</v>
      </c>
      <c r="L96" s="921">
        <f t="shared" si="37"/>
        <v>5000000</v>
      </c>
      <c r="M96" s="921">
        <f t="shared" si="37"/>
        <v>5000000</v>
      </c>
      <c r="N96" s="921">
        <f t="shared" si="37"/>
        <v>5000000</v>
      </c>
      <c r="O96" s="922">
        <f t="shared" si="37"/>
        <v>5000000</v>
      </c>
      <c r="P96" s="19"/>
      <c r="Q96" s="17"/>
    </row>
    <row r="97" spans="3:17" ht="15">
      <c r="C97" s="920" t="s">
        <v>158</v>
      </c>
      <c r="D97" s="908">
        <f>' Summary'!C48</f>
        <v>2000000</v>
      </c>
      <c r="E97" s="921">
        <f>$D97</f>
        <v>2000000</v>
      </c>
      <c r="F97" s="921">
        <f>$D97</f>
        <v>2000000</v>
      </c>
      <c r="G97" s="921">
        <f t="shared" si="37"/>
        <v>2000000</v>
      </c>
      <c r="H97" s="921">
        <f t="shared" si="37"/>
        <v>2000000</v>
      </c>
      <c r="I97" s="921">
        <f t="shared" si="37"/>
        <v>2000000</v>
      </c>
      <c r="J97" s="921">
        <f t="shared" si="37"/>
        <v>2000000</v>
      </c>
      <c r="K97" s="921">
        <f t="shared" si="37"/>
        <v>2000000</v>
      </c>
      <c r="L97" s="921">
        <f t="shared" si="37"/>
        <v>2000000</v>
      </c>
      <c r="M97" s="921">
        <f t="shared" si="37"/>
        <v>2000000</v>
      </c>
      <c r="N97" s="921">
        <f t="shared" si="37"/>
        <v>2000000</v>
      </c>
      <c r="O97" s="922">
        <f t="shared" si="37"/>
        <v>2000000</v>
      </c>
      <c r="P97" s="19"/>
      <c r="Q97" s="17"/>
    </row>
    <row r="98" spans="3:17" ht="15">
      <c r="C98" s="919" t="s">
        <v>161</v>
      </c>
      <c r="D98" s="911">
        <f>D91-D95</f>
        <v>-7000000</v>
      </c>
      <c r="E98" s="911" t="e">
        <f>E91-E95</f>
        <v>#VALUE!</v>
      </c>
      <c r="F98" s="911" t="e">
        <f>F91-F95</f>
        <v>#VALUE!</v>
      </c>
      <c r="G98" s="911" t="e">
        <f aca="true" t="shared" si="38" ref="G98:O98">G91-G95</f>
        <v>#VALUE!</v>
      </c>
      <c r="H98" s="911" t="e">
        <f t="shared" si="38"/>
        <v>#VALUE!</v>
      </c>
      <c r="I98" s="911" t="e">
        <f t="shared" si="38"/>
        <v>#VALUE!</v>
      </c>
      <c r="J98" s="911" t="e">
        <f t="shared" si="38"/>
        <v>#VALUE!</v>
      </c>
      <c r="K98" s="911" t="e">
        <f t="shared" si="38"/>
        <v>#VALUE!</v>
      </c>
      <c r="L98" s="911" t="e">
        <f t="shared" si="38"/>
        <v>#VALUE!</v>
      </c>
      <c r="M98" s="911" t="e">
        <f t="shared" si="38"/>
        <v>#VALUE!</v>
      </c>
      <c r="N98" s="911" t="e">
        <f t="shared" si="38"/>
        <v>#VALUE!</v>
      </c>
      <c r="O98" s="912" t="e">
        <f t="shared" si="38"/>
        <v>#VALUE!</v>
      </c>
      <c r="P98" s="19"/>
      <c r="Q98" s="17"/>
    </row>
    <row r="99" spans="3:17" ht="15.75" thickBot="1">
      <c r="C99" s="924" t="s">
        <v>166</v>
      </c>
      <c r="D99" s="925">
        <f aca="true" t="shared" si="39" ref="D99:O99">D95+D98</f>
        <v>0</v>
      </c>
      <c r="E99" s="925" t="e">
        <f t="shared" si="39"/>
        <v>#VALUE!</v>
      </c>
      <c r="F99" s="925" t="e">
        <f t="shared" si="39"/>
        <v>#VALUE!</v>
      </c>
      <c r="G99" s="925" t="e">
        <f t="shared" si="39"/>
        <v>#VALUE!</v>
      </c>
      <c r="H99" s="925" t="e">
        <f t="shared" si="39"/>
        <v>#VALUE!</v>
      </c>
      <c r="I99" s="925" t="e">
        <f t="shared" si="39"/>
        <v>#VALUE!</v>
      </c>
      <c r="J99" s="925" t="e">
        <f t="shared" si="39"/>
        <v>#VALUE!</v>
      </c>
      <c r="K99" s="925" t="e">
        <f t="shared" si="39"/>
        <v>#VALUE!</v>
      </c>
      <c r="L99" s="925" t="e">
        <f t="shared" si="39"/>
        <v>#VALUE!</v>
      </c>
      <c r="M99" s="925" t="e">
        <f t="shared" si="39"/>
        <v>#VALUE!</v>
      </c>
      <c r="N99" s="925" t="e">
        <f t="shared" si="39"/>
        <v>#VALUE!</v>
      </c>
      <c r="O99" s="926" t="e">
        <f t="shared" si="39"/>
        <v>#VALUE!</v>
      </c>
      <c r="P99" s="19"/>
      <c r="Q99" s="17"/>
    </row>
    <row r="100" spans="3:17" ht="15.75" thickBot="1">
      <c r="C100" s="914"/>
      <c r="D100" s="915"/>
      <c r="E100" s="927"/>
      <c r="F100" s="928"/>
      <c r="G100" s="928"/>
      <c r="H100" s="928"/>
      <c r="I100" s="928"/>
      <c r="J100" s="928"/>
      <c r="K100" s="928"/>
      <c r="L100" s="928"/>
      <c r="M100" s="928"/>
      <c r="N100" s="928"/>
      <c r="O100" s="929"/>
      <c r="P100" s="19"/>
      <c r="Q100" s="17"/>
    </row>
    <row r="101" spans="3:17" ht="15">
      <c r="C101" s="904" t="s">
        <v>175</v>
      </c>
      <c r="D101" s="905"/>
      <c r="E101" s="921"/>
      <c r="F101" s="930"/>
      <c r="G101" s="930"/>
      <c r="H101" s="930"/>
      <c r="I101" s="930"/>
      <c r="J101" s="930"/>
      <c r="K101" s="930"/>
      <c r="L101" s="930"/>
      <c r="M101" s="930"/>
      <c r="N101" s="930"/>
      <c r="O101" s="931"/>
      <c r="P101" s="19"/>
      <c r="Q101" s="17"/>
    </row>
    <row r="102" spans="3:17" ht="15">
      <c r="C102" s="932" t="s">
        <v>167</v>
      </c>
      <c r="D102" s="911">
        <f>D103+D104+D105</f>
        <v>0</v>
      </c>
      <c r="E102" s="911" t="e">
        <f>E103+E104+E105</f>
        <v>#VALUE!</v>
      </c>
      <c r="F102" s="911" t="e">
        <f>F103+F104+F105</f>
        <v>#VALUE!</v>
      </c>
      <c r="G102" s="911" t="e">
        <f aca="true" t="shared" si="40" ref="G102:O102">G103+G104+G105</f>
        <v>#VALUE!</v>
      </c>
      <c r="H102" s="911" t="e">
        <f t="shared" si="40"/>
        <v>#VALUE!</v>
      </c>
      <c r="I102" s="911" t="e">
        <f t="shared" si="40"/>
        <v>#VALUE!</v>
      </c>
      <c r="J102" s="911" t="e">
        <f t="shared" si="40"/>
        <v>#VALUE!</v>
      </c>
      <c r="K102" s="911" t="e">
        <f t="shared" si="40"/>
        <v>#VALUE!</v>
      </c>
      <c r="L102" s="911" t="e">
        <f t="shared" si="40"/>
        <v>#VALUE!</v>
      </c>
      <c r="M102" s="911" t="e">
        <f t="shared" si="40"/>
        <v>#VALUE!</v>
      </c>
      <c r="N102" s="911" t="e">
        <f t="shared" si="40"/>
        <v>#VALUE!</v>
      </c>
      <c r="O102" s="912" t="e">
        <f t="shared" si="40"/>
        <v>#VALUE!</v>
      </c>
      <c r="P102" s="17"/>
      <c r="Q102" s="17"/>
    </row>
    <row r="103" spans="3:17" ht="15">
      <c r="C103" s="933" t="s">
        <v>168</v>
      </c>
      <c r="D103" s="908">
        <f>D88</f>
        <v>0</v>
      </c>
      <c r="E103" s="908" t="e">
        <f>E88</f>
        <v>#VALUE!</v>
      </c>
      <c r="F103" s="908" t="e">
        <f>F88</f>
        <v>#VALUE!</v>
      </c>
      <c r="G103" s="908" t="e">
        <f aca="true" t="shared" si="41" ref="G103:O103">G88</f>
        <v>#VALUE!</v>
      </c>
      <c r="H103" s="908" t="e">
        <f t="shared" si="41"/>
        <v>#VALUE!</v>
      </c>
      <c r="I103" s="908" t="e">
        <f t="shared" si="41"/>
        <v>#VALUE!</v>
      </c>
      <c r="J103" s="908" t="e">
        <f t="shared" si="41"/>
        <v>#VALUE!</v>
      </c>
      <c r="K103" s="908" t="e">
        <f t="shared" si="41"/>
        <v>#VALUE!</v>
      </c>
      <c r="L103" s="908" t="e">
        <f t="shared" si="41"/>
        <v>#VALUE!</v>
      </c>
      <c r="M103" s="908" t="e">
        <f t="shared" si="41"/>
        <v>#VALUE!</v>
      </c>
      <c r="N103" s="908" t="e">
        <f t="shared" si="41"/>
        <v>#VALUE!</v>
      </c>
      <c r="O103" s="923" t="e">
        <f t="shared" si="41"/>
        <v>#VALUE!</v>
      </c>
      <c r="P103" s="17"/>
      <c r="Q103" s="17"/>
    </row>
    <row r="104" spans="3:17" ht="15">
      <c r="C104" s="933" t="s">
        <v>252</v>
      </c>
      <c r="D104" s="908">
        <f>D82</f>
        <v>0</v>
      </c>
      <c r="E104" s="908">
        <f>E82</f>
        <v>0</v>
      </c>
      <c r="F104" s="908">
        <f>F82</f>
        <v>0</v>
      </c>
      <c r="G104" s="908">
        <f aca="true" t="shared" si="42" ref="G104:O104">G82</f>
        <v>0</v>
      </c>
      <c r="H104" s="908">
        <f t="shared" si="42"/>
        <v>0</v>
      </c>
      <c r="I104" s="908">
        <f t="shared" si="42"/>
        <v>0</v>
      </c>
      <c r="J104" s="908">
        <f t="shared" si="42"/>
        <v>0</v>
      </c>
      <c r="K104" s="908">
        <f t="shared" si="42"/>
        <v>0</v>
      </c>
      <c r="L104" s="908">
        <f t="shared" si="42"/>
        <v>0</v>
      </c>
      <c r="M104" s="908">
        <f t="shared" si="42"/>
        <v>0</v>
      </c>
      <c r="N104" s="908">
        <f t="shared" si="42"/>
        <v>0</v>
      </c>
      <c r="O104" s="923">
        <f t="shared" si="42"/>
        <v>0</v>
      </c>
      <c r="P104" s="17"/>
      <c r="Q104" s="17"/>
    </row>
    <row r="105" spans="3:17" ht="15">
      <c r="C105" s="933" t="s">
        <v>38</v>
      </c>
      <c r="D105" s="908">
        <f>' Summary'!J51</f>
        <v>0</v>
      </c>
      <c r="E105" s="908">
        <f aca="true" t="shared" si="43" ref="E105:O105">$D105</f>
        <v>0</v>
      </c>
      <c r="F105" s="908">
        <f t="shared" si="43"/>
        <v>0</v>
      </c>
      <c r="G105" s="908">
        <f t="shared" si="43"/>
        <v>0</v>
      </c>
      <c r="H105" s="908">
        <f t="shared" si="43"/>
        <v>0</v>
      </c>
      <c r="I105" s="908">
        <f t="shared" si="43"/>
        <v>0</v>
      </c>
      <c r="J105" s="908">
        <f t="shared" si="43"/>
        <v>0</v>
      </c>
      <c r="K105" s="908">
        <f t="shared" si="43"/>
        <v>0</v>
      </c>
      <c r="L105" s="908">
        <f t="shared" si="43"/>
        <v>0</v>
      </c>
      <c r="M105" s="908">
        <f t="shared" si="43"/>
        <v>0</v>
      </c>
      <c r="N105" s="908">
        <f t="shared" si="43"/>
        <v>0</v>
      </c>
      <c r="O105" s="923">
        <f t="shared" si="43"/>
        <v>0</v>
      </c>
      <c r="P105" s="17"/>
      <c r="Q105" s="17"/>
    </row>
    <row r="106" spans="3:56" ht="15">
      <c r="C106" s="932" t="s">
        <v>169</v>
      </c>
      <c r="D106" s="911">
        <f>' Summary'!J52</f>
        <v>0</v>
      </c>
      <c r="E106" s="908">
        <f>E65</f>
        <v>0</v>
      </c>
      <c r="F106" s="908">
        <f>F65</f>
        <v>0</v>
      </c>
      <c r="G106" s="908">
        <f aca="true" t="shared" si="44" ref="G106:O106">G65</f>
        <v>0</v>
      </c>
      <c r="H106" s="908">
        <f t="shared" si="44"/>
        <v>0</v>
      </c>
      <c r="I106" s="908">
        <f t="shared" si="44"/>
        <v>0</v>
      </c>
      <c r="J106" s="908">
        <f t="shared" si="44"/>
        <v>0</v>
      </c>
      <c r="K106" s="908">
        <f t="shared" si="44"/>
        <v>0</v>
      </c>
      <c r="L106" s="908">
        <f t="shared" si="44"/>
        <v>0</v>
      </c>
      <c r="M106" s="908">
        <f t="shared" si="44"/>
        <v>0</v>
      </c>
      <c r="N106" s="908">
        <f t="shared" si="44"/>
        <v>0</v>
      </c>
      <c r="O106" s="923">
        <f t="shared" si="44"/>
        <v>0</v>
      </c>
      <c r="P106" s="17"/>
      <c r="Q106" s="17"/>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row>
    <row r="107" spans="3:56" ht="15">
      <c r="C107" s="932" t="s">
        <v>170</v>
      </c>
      <c r="D107" s="911">
        <f>D108+D109</f>
        <v>0</v>
      </c>
      <c r="E107" s="911">
        <f>E108+E109</f>
        <v>0</v>
      </c>
      <c r="F107" s="911">
        <f>F108+F109</f>
        <v>0</v>
      </c>
      <c r="G107" s="911">
        <f aca="true" t="shared" si="45" ref="G107:O107">G108+G109</f>
        <v>0</v>
      </c>
      <c r="H107" s="911">
        <f t="shared" si="45"/>
        <v>0</v>
      </c>
      <c r="I107" s="911">
        <f t="shared" si="45"/>
        <v>0</v>
      </c>
      <c r="J107" s="911">
        <f t="shared" si="45"/>
        <v>0</v>
      </c>
      <c r="K107" s="911">
        <f t="shared" si="45"/>
        <v>0</v>
      </c>
      <c r="L107" s="911">
        <f t="shared" si="45"/>
        <v>0</v>
      </c>
      <c r="M107" s="911">
        <f t="shared" si="45"/>
        <v>0</v>
      </c>
      <c r="N107" s="911">
        <f t="shared" si="45"/>
        <v>0</v>
      </c>
      <c r="O107" s="912">
        <f t="shared" si="45"/>
        <v>0</v>
      </c>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row>
    <row r="108" spans="3:56" ht="15">
      <c r="C108" s="934" t="s">
        <v>173</v>
      </c>
      <c r="D108" s="935">
        <f>' Summary'!J54</f>
        <v>0</v>
      </c>
      <c r="E108" s="935">
        <f>D108</f>
        <v>0</v>
      </c>
      <c r="F108" s="935">
        <f>E108</f>
        <v>0</v>
      </c>
      <c r="G108" s="935">
        <f aca="true" t="shared" si="46" ref="G108:O108">F108</f>
        <v>0</v>
      </c>
      <c r="H108" s="935">
        <f t="shared" si="46"/>
        <v>0</v>
      </c>
      <c r="I108" s="935">
        <f t="shared" si="46"/>
        <v>0</v>
      </c>
      <c r="J108" s="935">
        <f t="shared" si="46"/>
        <v>0</v>
      </c>
      <c r="K108" s="935">
        <f t="shared" si="46"/>
        <v>0</v>
      </c>
      <c r="L108" s="935">
        <f t="shared" si="46"/>
        <v>0</v>
      </c>
      <c r="M108" s="935">
        <f t="shared" si="46"/>
        <v>0</v>
      </c>
      <c r="N108" s="935">
        <f t="shared" si="46"/>
        <v>0</v>
      </c>
      <c r="O108" s="936">
        <f t="shared" si="46"/>
        <v>0</v>
      </c>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row>
    <row r="109" spans="3:56" ht="15">
      <c r="C109" s="934" t="s">
        <v>99</v>
      </c>
      <c r="D109" s="935">
        <f>' Summary'!J55</f>
        <v>0</v>
      </c>
      <c r="E109" s="935">
        <f>D109</f>
        <v>0</v>
      </c>
      <c r="F109" s="935">
        <f>E109</f>
        <v>0</v>
      </c>
      <c r="G109" s="935">
        <f aca="true" t="shared" si="47" ref="G109:O109">F109</f>
        <v>0</v>
      </c>
      <c r="H109" s="935">
        <f t="shared" si="47"/>
        <v>0</v>
      </c>
      <c r="I109" s="935">
        <f t="shared" si="47"/>
        <v>0</v>
      </c>
      <c r="J109" s="935">
        <f t="shared" si="47"/>
        <v>0</v>
      </c>
      <c r="K109" s="935">
        <f t="shared" si="47"/>
        <v>0</v>
      </c>
      <c r="L109" s="935">
        <f t="shared" si="47"/>
        <v>0</v>
      </c>
      <c r="M109" s="935">
        <f t="shared" si="47"/>
        <v>0</v>
      </c>
      <c r="N109" s="935">
        <f t="shared" si="47"/>
        <v>0</v>
      </c>
      <c r="O109" s="936">
        <f t="shared" si="47"/>
        <v>0</v>
      </c>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row>
    <row r="110" spans="3:56" ht="15">
      <c r="C110" s="919" t="s">
        <v>147</v>
      </c>
      <c r="D110" s="911">
        <f>D102+D106+D107</f>
        <v>0</v>
      </c>
      <c r="E110" s="911" t="e">
        <f>E102+E106+E107</f>
        <v>#VALUE!</v>
      </c>
      <c r="F110" s="911" t="e">
        <f>F102+F106+F107</f>
        <v>#VALUE!</v>
      </c>
      <c r="G110" s="911" t="e">
        <f aca="true" t="shared" si="48" ref="G110:O110">G102+G106+G107</f>
        <v>#VALUE!</v>
      </c>
      <c r="H110" s="911" t="e">
        <f t="shared" si="48"/>
        <v>#VALUE!</v>
      </c>
      <c r="I110" s="911" t="e">
        <f t="shared" si="48"/>
        <v>#VALUE!</v>
      </c>
      <c r="J110" s="911" t="e">
        <f t="shared" si="48"/>
        <v>#VALUE!</v>
      </c>
      <c r="K110" s="911" t="e">
        <f t="shared" si="48"/>
        <v>#VALUE!</v>
      </c>
      <c r="L110" s="911" t="e">
        <f t="shared" si="48"/>
        <v>#VALUE!</v>
      </c>
      <c r="M110" s="911" t="e">
        <f t="shared" si="48"/>
        <v>#VALUE!</v>
      </c>
      <c r="N110" s="911" t="e">
        <f t="shared" si="48"/>
        <v>#VALUE!</v>
      </c>
      <c r="O110" s="912" t="e">
        <f t="shared" si="48"/>
        <v>#VALUE!</v>
      </c>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row>
    <row r="111" spans="3:56" ht="15">
      <c r="C111" s="937" t="s">
        <v>174</v>
      </c>
      <c r="D111" s="935">
        <f>' Summary'!J56</f>
        <v>0</v>
      </c>
      <c r="E111" s="935">
        <f aca="true" t="shared" si="49" ref="E111:O111">D112</f>
        <v>0</v>
      </c>
      <c r="F111" s="935" t="e">
        <f t="shared" si="49"/>
        <v>#VALUE!</v>
      </c>
      <c r="G111" s="935" t="e">
        <f t="shared" si="49"/>
        <v>#VALUE!</v>
      </c>
      <c r="H111" s="935" t="e">
        <f t="shared" si="49"/>
        <v>#VALUE!</v>
      </c>
      <c r="I111" s="935" t="e">
        <f t="shared" si="49"/>
        <v>#VALUE!</v>
      </c>
      <c r="J111" s="935" t="e">
        <f t="shared" si="49"/>
        <v>#VALUE!</v>
      </c>
      <c r="K111" s="935" t="e">
        <f t="shared" si="49"/>
        <v>#VALUE!</v>
      </c>
      <c r="L111" s="935" t="e">
        <f t="shared" si="49"/>
        <v>#VALUE!</v>
      </c>
      <c r="M111" s="935" t="e">
        <f t="shared" si="49"/>
        <v>#VALUE!</v>
      </c>
      <c r="N111" s="935" t="e">
        <f t="shared" si="49"/>
        <v>#VALUE!</v>
      </c>
      <c r="O111" s="936" t="e">
        <f t="shared" si="49"/>
        <v>#VALUE!</v>
      </c>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row>
    <row r="112" spans="3:56" ht="15.75" thickBot="1">
      <c r="C112" s="816" t="s">
        <v>202</v>
      </c>
      <c r="D112" s="938">
        <f aca="true" t="shared" si="50" ref="D112:O112">D110+D111</f>
        <v>0</v>
      </c>
      <c r="E112" s="938" t="e">
        <f t="shared" si="50"/>
        <v>#VALUE!</v>
      </c>
      <c r="F112" s="938" t="e">
        <f t="shared" si="50"/>
        <v>#VALUE!</v>
      </c>
      <c r="G112" s="938" t="e">
        <f t="shared" si="50"/>
        <v>#VALUE!</v>
      </c>
      <c r="H112" s="938" t="e">
        <f t="shared" si="50"/>
        <v>#VALUE!</v>
      </c>
      <c r="I112" s="938" t="e">
        <f t="shared" si="50"/>
        <v>#VALUE!</v>
      </c>
      <c r="J112" s="938" t="e">
        <f t="shared" si="50"/>
        <v>#VALUE!</v>
      </c>
      <c r="K112" s="938" t="e">
        <f t="shared" si="50"/>
        <v>#VALUE!</v>
      </c>
      <c r="L112" s="938" t="e">
        <f t="shared" si="50"/>
        <v>#VALUE!</v>
      </c>
      <c r="M112" s="938" t="e">
        <f t="shared" si="50"/>
        <v>#VALUE!</v>
      </c>
      <c r="N112" s="938" t="e">
        <f t="shared" si="50"/>
        <v>#VALUE!</v>
      </c>
      <c r="O112" s="939" t="e">
        <f t="shared" si="50"/>
        <v>#VALUE!</v>
      </c>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row>
    <row r="113" spans="23:56" ht="15">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row>
    <row r="114" spans="3:56" ht="15">
      <c r="C114" t="s">
        <v>387</v>
      </c>
      <c r="D114" s="156">
        <f>D91-D99</f>
        <v>0</v>
      </c>
      <c r="E114" s="156" t="e">
        <f aca="true" t="shared" si="51" ref="E114:O114">E91-E99</f>
        <v>#VALUE!</v>
      </c>
      <c r="F114" s="156" t="e">
        <f t="shared" si="51"/>
        <v>#VALUE!</v>
      </c>
      <c r="G114" s="156" t="e">
        <f t="shared" si="51"/>
        <v>#VALUE!</v>
      </c>
      <c r="H114" s="156" t="e">
        <f t="shared" si="51"/>
        <v>#VALUE!</v>
      </c>
      <c r="I114" s="156" t="e">
        <f t="shared" si="51"/>
        <v>#VALUE!</v>
      </c>
      <c r="J114" s="156" t="e">
        <f t="shared" si="51"/>
        <v>#VALUE!</v>
      </c>
      <c r="K114" s="156" t="e">
        <f t="shared" si="51"/>
        <v>#VALUE!</v>
      </c>
      <c r="L114" s="156" t="e">
        <f t="shared" si="51"/>
        <v>#VALUE!</v>
      </c>
      <c r="M114" s="156" t="e">
        <f t="shared" si="51"/>
        <v>#VALUE!</v>
      </c>
      <c r="N114" s="156" t="e">
        <f t="shared" si="51"/>
        <v>#VALUE!</v>
      </c>
      <c r="O114" s="156" t="e">
        <f t="shared" si="51"/>
        <v>#VALUE!</v>
      </c>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row>
    <row r="115" spans="23:56" ht="15">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row>
    <row r="116" spans="23:56" ht="15">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row>
    <row r="117" spans="23:56" ht="15">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row>
    <row r="118" spans="23:56" ht="15">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row>
    <row r="119" spans="23:56" ht="15">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row>
    <row r="120" spans="23:56" ht="15">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row>
    <row r="121" spans="23:56" ht="15">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row>
    <row r="122" spans="23:56" ht="15">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row>
    <row r="123" spans="5:56" ht="15">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row>
  </sheetData>
  <sheetProtection password="D997" sheet="1" objects="1" scenarios="1"/>
  <mergeCells count="6">
    <mergeCell ref="C2:E2"/>
    <mergeCell ref="C77:C78"/>
    <mergeCell ref="H13:I13"/>
    <mergeCell ref="B24:B30"/>
    <mergeCell ref="B22:O22"/>
    <mergeCell ref="G3:K3"/>
  </mergeCells>
  <printOptions/>
  <pageMargins left="0.75" right="0.75" top="1" bottom="1" header="0.5" footer="0.5"/>
  <pageSetup fitToHeight="3" horizontalDpi="600" verticalDpi="600" orientation="landscape" scale="52" r:id="rId4"/>
  <rowBreaks count="2" manualBreakCount="2">
    <brk id="31" min="1" max="15" man="1"/>
    <brk id="75" min="1" max="15" man="1"/>
  </rowBreaks>
  <drawing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2:S114"/>
  <sheetViews>
    <sheetView view="pageBreakPreview" zoomScale="65" zoomScaleNormal="65" zoomScaleSheetLayoutView="65" workbookViewId="0" topLeftCell="A1">
      <selection activeCell="C28" sqref="C28"/>
    </sheetView>
  </sheetViews>
  <sheetFormatPr defaultColWidth="9.140625" defaultRowHeight="15"/>
  <cols>
    <col min="1" max="1" width="3.7109375" style="0" customWidth="1"/>
    <col min="3" max="3" width="38.28125" style="0" customWidth="1"/>
    <col min="4" max="4" width="16.57421875" style="0" customWidth="1"/>
    <col min="5" max="5" width="16.28125" style="0" customWidth="1"/>
    <col min="6" max="15" width="17.140625" style="0" bestFit="1" customWidth="1"/>
    <col min="16" max="16" width="13.421875" style="0" bestFit="1" customWidth="1"/>
    <col min="17" max="27" width="10.7109375" style="0" customWidth="1"/>
  </cols>
  <sheetData>
    <row r="1" ht="15.75" thickBot="1"/>
    <row r="2" spans="3:6" ht="15.75" thickBot="1">
      <c r="C2" s="53" t="s">
        <v>22</v>
      </c>
      <c r="D2" s="758"/>
      <c r="E2" s="759"/>
      <c r="F2" s="756"/>
    </row>
    <row r="3" spans="3:11" ht="15.75" thickTop="1">
      <c r="C3" s="776" t="s">
        <v>321</v>
      </c>
      <c r="D3" s="777"/>
      <c r="E3" s="778"/>
      <c r="G3" s="1073" t="s">
        <v>403</v>
      </c>
      <c r="H3" s="1074"/>
      <c r="I3" s="1074"/>
      <c r="J3" s="1074"/>
      <c r="K3" s="1075"/>
    </row>
    <row r="4" spans="3:11" ht="15">
      <c r="C4" s="779" t="s">
        <v>195</v>
      </c>
      <c r="D4" s="391">
        <f>' Summary'!F9</f>
        <v>357000</v>
      </c>
      <c r="E4" s="780"/>
      <c r="G4" s="1034"/>
      <c r="H4" s="1035" t="s">
        <v>313</v>
      </c>
      <c r="I4" s="2"/>
      <c r="J4" s="2"/>
      <c r="K4" s="1036"/>
    </row>
    <row r="5" spans="3:11" ht="15">
      <c r="C5" s="779" t="s">
        <v>196</v>
      </c>
      <c r="D5" s="391">
        <f>' Summary'!F15</f>
        <v>40000</v>
      </c>
      <c r="E5" s="780"/>
      <c r="G5" s="1037"/>
      <c r="H5" s="1035" t="s">
        <v>401</v>
      </c>
      <c r="I5" s="2"/>
      <c r="J5" s="2"/>
      <c r="K5" s="1036"/>
    </row>
    <row r="6" spans="3:11" ht="15">
      <c r="C6" s="779" t="s">
        <v>191</v>
      </c>
      <c r="D6" s="391">
        <f>' Summary'!F22</f>
        <v>17470</v>
      </c>
      <c r="E6" s="780"/>
      <c r="G6" s="1038"/>
      <c r="H6" s="1035" t="s">
        <v>312</v>
      </c>
      <c r="I6" s="2"/>
      <c r="J6" s="2"/>
      <c r="K6" s="1036"/>
    </row>
    <row r="7" spans="3:11" ht="15.75" thickBot="1">
      <c r="C7" s="781" t="s">
        <v>197</v>
      </c>
      <c r="D7" s="782">
        <f>SUM(D4:D6)</f>
        <v>414470</v>
      </c>
      <c r="E7" s="783"/>
      <c r="G7" s="1039"/>
      <c r="H7" s="1040" t="s">
        <v>311</v>
      </c>
      <c r="I7" s="1041"/>
      <c r="J7" s="1041"/>
      <c r="K7" s="1042"/>
    </row>
    <row r="8" spans="3:5" ht="16.5" thickBot="1" thickTop="1">
      <c r="C8" s="779" t="s">
        <v>31</v>
      </c>
      <c r="D8" s="784">
        <f>(' Summary'!F23-' Summary'!F21)*Inputs!ESCO_Profit</f>
        <v>41447</v>
      </c>
      <c r="E8" s="783">
        <f>D8/D7</f>
        <v>0.1</v>
      </c>
    </row>
    <row r="9" spans="3:5" ht="15.75" thickTop="1">
      <c r="C9" s="785" t="s">
        <v>296</v>
      </c>
      <c r="D9" s="391">
        <f>D7+D8</f>
        <v>455917</v>
      </c>
      <c r="E9" s="783"/>
    </row>
    <row r="10" spans="3:5" ht="15">
      <c r="C10" s="779" t="s">
        <v>295</v>
      </c>
      <c r="D10" s="391">
        <f>'Costs &amp; Savings'!D20</f>
        <v>174.70000000000002</v>
      </c>
      <c r="E10" s="783">
        <f>' Summary'!J23</f>
        <v>0.01</v>
      </c>
    </row>
    <row r="11" spans="3:5" ht="15.75" thickBot="1">
      <c r="C11" s="786" t="s">
        <v>32</v>
      </c>
      <c r="D11" s="392">
        <f>D9+D10</f>
        <v>456091.7</v>
      </c>
      <c r="E11" s="787"/>
    </row>
    <row r="12" spans="3:5" ht="15">
      <c r="C12" s="171"/>
      <c r="D12" s="173"/>
      <c r="E12" s="172"/>
    </row>
    <row r="13" spans="3:5" ht="15">
      <c r="C13" s="170"/>
      <c r="D13" s="606"/>
      <c r="E13" s="416"/>
    </row>
    <row r="14" spans="3:5" ht="15">
      <c r="C14" s="607" t="s">
        <v>182</v>
      </c>
      <c r="D14" s="608">
        <f>'Costs &amp; Savings'!N9</f>
        <v>210000</v>
      </c>
      <c r="E14" s="416"/>
    </row>
    <row r="15" spans="1:9" ht="15">
      <c r="A15" s="756"/>
      <c r="B15" s="756"/>
      <c r="C15" s="757" t="s">
        <v>181</v>
      </c>
      <c r="D15" s="608">
        <f>'Costs &amp; Savings'!N29</f>
        <v>105000</v>
      </c>
      <c r="E15" s="416"/>
      <c r="H15" s="156"/>
      <c r="I15" s="156"/>
    </row>
    <row r="16" spans="1:9" ht="15">
      <c r="A16" s="756"/>
      <c r="B16" s="756"/>
      <c r="C16" s="757" t="s">
        <v>37</v>
      </c>
      <c r="D16" s="608">
        <f>-' Summary'!J12</f>
        <v>0</v>
      </c>
      <c r="E16" s="416"/>
      <c r="H16" s="156"/>
      <c r="I16" s="156"/>
    </row>
    <row r="17" spans="1:9" ht="15">
      <c r="A17" s="756"/>
      <c r="B17" s="756"/>
      <c r="C17" s="757" t="s">
        <v>273</v>
      </c>
      <c r="D17" s="608">
        <f>' Summary'!F57*Inputs!H38*' Summary'!F58</f>
        <v>0</v>
      </c>
      <c r="E17" s="416"/>
      <c r="H17" s="156"/>
      <c r="I17" s="156"/>
    </row>
    <row r="18" spans="3:5" ht="15">
      <c r="C18" s="609" t="s">
        <v>221</v>
      </c>
      <c r="D18" s="608">
        <f>F76</f>
        <v>1108562.6581992945</v>
      </c>
      <c r="E18" s="416"/>
    </row>
    <row r="19" spans="3:5" ht="15">
      <c r="C19" s="609" t="s">
        <v>39</v>
      </c>
      <c r="D19" s="610">
        <f>Term</f>
        <v>5</v>
      </c>
      <c r="E19" s="416" t="s">
        <v>1</v>
      </c>
    </row>
    <row r="20" spans="3:5" ht="30">
      <c r="C20" s="609" t="s">
        <v>41</v>
      </c>
      <c r="D20" s="608">
        <f>D9</f>
        <v>455917</v>
      </c>
      <c r="E20" s="611" t="s">
        <v>276</v>
      </c>
    </row>
    <row r="21" spans="3:7" ht="15.75" thickBot="1">
      <c r="C21" s="612" t="s">
        <v>43</v>
      </c>
      <c r="D21" s="613">
        <f>RATE(D19,D16,D20)</f>
        <v>-0.9999994098102403</v>
      </c>
      <c r="E21" s="614">
        <f>RATE(D19,D16+D17,D20)</f>
        <v>-0.9999994098102403</v>
      </c>
      <c r="G21" s="104"/>
    </row>
    <row r="23" spans="2:16" ht="15.75">
      <c r="B23" s="1123" t="s">
        <v>267</v>
      </c>
      <c r="C23" s="1124"/>
      <c r="D23" s="1124"/>
      <c r="E23" s="1124"/>
      <c r="F23" s="1124"/>
      <c r="G23" s="1124"/>
      <c r="H23" s="1124"/>
      <c r="I23" s="1124"/>
      <c r="J23" s="1124"/>
      <c r="K23" s="1124"/>
      <c r="L23" s="1124"/>
      <c r="M23" s="1124"/>
      <c r="N23" s="1124"/>
      <c r="O23" s="1124"/>
      <c r="P23" s="294"/>
    </row>
    <row r="24" spans="2:15" ht="15.75" thickBot="1">
      <c r="B24" s="8"/>
      <c r="C24" s="153"/>
      <c r="D24" s="157" t="s">
        <v>248</v>
      </c>
      <c r="E24" s="157" t="s">
        <v>95</v>
      </c>
      <c r="F24" s="157" t="s">
        <v>254</v>
      </c>
      <c r="G24" s="157" t="s">
        <v>255</v>
      </c>
      <c r="H24" s="157" t="s">
        <v>256</v>
      </c>
      <c r="I24" s="157" t="s">
        <v>257</v>
      </c>
      <c r="J24" s="157" t="s">
        <v>258</v>
      </c>
      <c r="K24" s="157" t="s">
        <v>259</v>
      </c>
      <c r="L24" s="157" t="s">
        <v>260</v>
      </c>
      <c r="M24" s="157" t="s">
        <v>261</v>
      </c>
      <c r="N24" s="157" t="s">
        <v>262</v>
      </c>
      <c r="O24" s="157" t="s">
        <v>263</v>
      </c>
    </row>
    <row r="25" spans="2:15" ht="15">
      <c r="B25" s="1120" t="s">
        <v>264</v>
      </c>
      <c r="C25" s="617" t="s">
        <v>253</v>
      </c>
      <c r="D25" s="618">
        <f aca="true" t="shared" si="0" ref="D25:O25">(D95+D96)/D99</f>
        <v>2</v>
      </c>
      <c r="E25" s="618">
        <f t="shared" si="0"/>
        <v>3</v>
      </c>
      <c r="F25" s="618">
        <f t="shared" si="0"/>
        <v>16.86</v>
      </c>
      <c r="G25" s="618">
        <f t="shared" si="0"/>
        <v>30.9972</v>
      </c>
      <c r="H25" s="618">
        <f t="shared" si="0"/>
        <v>45.414372</v>
      </c>
      <c r="I25" s="618">
        <f t="shared" si="0"/>
        <v>60.11431572</v>
      </c>
      <c r="J25" s="618">
        <f t="shared" si="0"/>
        <v>75.0998588772</v>
      </c>
      <c r="K25" s="618">
        <f t="shared" si="0"/>
        <v>104.23385746597201</v>
      </c>
      <c r="L25" s="618">
        <f t="shared" si="0"/>
        <v>133.65919604063174</v>
      </c>
      <c r="M25" s="618">
        <f t="shared" si="0"/>
        <v>163.37878800103803</v>
      </c>
      <c r="N25" s="618">
        <f t="shared" si="0"/>
        <v>193.39557588104844</v>
      </c>
      <c r="O25" s="619">
        <f t="shared" si="0"/>
        <v>223.7125316398589</v>
      </c>
    </row>
    <row r="26" spans="2:15" ht="15">
      <c r="B26" s="1121"/>
      <c r="C26" s="620" t="s">
        <v>265</v>
      </c>
      <c r="D26" s="621">
        <f aca="true" t="shared" si="1" ref="D26:O26">D97/D93</f>
        <v>0.5</v>
      </c>
      <c r="E26" s="621">
        <f t="shared" si="1"/>
        <v>0.3333333333333333</v>
      </c>
      <c r="F26" s="621">
        <f t="shared" si="1"/>
        <v>0.05931198102016608</v>
      </c>
      <c r="G26" s="621">
        <f t="shared" si="1"/>
        <v>0.032260978410953246</v>
      </c>
      <c r="H26" s="621">
        <f t="shared" si="1"/>
        <v>0.022019461152077587</v>
      </c>
      <c r="I26" s="621">
        <f t="shared" si="1"/>
        <v>0.016634972685338253</v>
      </c>
      <c r="J26" s="621">
        <f t="shared" si="1"/>
        <v>0.013315604249472108</v>
      </c>
      <c r="K26" s="621">
        <f t="shared" si="1"/>
        <v>0.009593811687593526</v>
      </c>
      <c r="L26" s="621">
        <f t="shared" si="1"/>
        <v>0.007481714910929174</v>
      </c>
      <c r="M26" s="621">
        <f t="shared" si="1"/>
        <v>0.006120745613522646</v>
      </c>
      <c r="N26" s="621">
        <f t="shared" si="1"/>
        <v>0.005170749100357232</v>
      </c>
      <c r="O26" s="622">
        <f t="shared" si="1"/>
        <v>0.004470022276668161</v>
      </c>
    </row>
    <row r="27" spans="2:15" ht="15">
      <c r="B27" s="1121"/>
      <c r="C27" s="620" t="s">
        <v>157</v>
      </c>
      <c r="D27" s="621">
        <f aca="true" t="shared" si="2" ref="D27:O27">D97/D100</f>
        <v>1</v>
      </c>
      <c r="E27" s="621">
        <f t="shared" si="2"/>
        <v>0.5</v>
      </c>
      <c r="F27" s="621">
        <f t="shared" si="2"/>
        <v>0.06305170239596469</v>
      </c>
      <c r="G27" s="621">
        <f t="shared" si="2"/>
        <v>0.033336444734841916</v>
      </c>
      <c r="H27" s="621">
        <f t="shared" si="2"/>
        <v>0.022515234483108305</v>
      </c>
      <c r="I27" s="621">
        <f t="shared" si="2"/>
        <v>0.016916376140368186</v>
      </c>
      <c r="J27" s="621">
        <f t="shared" si="2"/>
        <v>0.013495302354856345</v>
      </c>
      <c r="K27" s="621">
        <f t="shared" si="2"/>
        <v>0.009686744490097354</v>
      </c>
      <c r="L27" s="621">
        <f t="shared" si="2"/>
        <v>0.007538112922783833</v>
      </c>
      <c r="M27" s="621">
        <f t="shared" si="2"/>
        <v>0.006158439857265145</v>
      </c>
      <c r="N27" s="621">
        <f t="shared" si="2"/>
        <v>0.005197624713669433</v>
      </c>
      <c r="O27" s="622">
        <f t="shared" si="2"/>
        <v>0.004490093092817368</v>
      </c>
    </row>
    <row r="28" spans="2:15" ht="15">
      <c r="B28" s="1121"/>
      <c r="C28" s="620" t="s">
        <v>153</v>
      </c>
      <c r="D28" s="623" t="e">
        <f aca="true" t="shared" si="3" ref="D28:O28">(D104+D87)/(D87-D111)</f>
        <v>#DIV/0!</v>
      </c>
      <c r="E28" s="623" t="e">
        <f t="shared" si="3"/>
        <v>#DIV/0!</v>
      </c>
      <c r="F28" s="623" t="e">
        <f t="shared" si="3"/>
        <v>#DIV/0!</v>
      </c>
      <c r="G28" s="623" t="e">
        <f t="shared" si="3"/>
        <v>#DIV/0!</v>
      </c>
      <c r="H28" s="623" t="e">
        <f t="shared" si="3"/>
        <v>#DIV/0!</v>
      </c>
      <c r="I28" s="623" t="e">
        <f t="shared" si="3"/>
        <v>#DIV/0!</v>
      </c>
      <c r="J28" s="623" t="e">
        <f t="shared" si="3"/>
        <v>#DIV/0!</v>
      </c>
      <c r="K28" s="623" t="e">
        <f t="shared" si="3"/>
        <v>#DIV/0!</v>
      </c>
      <c r="L28" s="623" t="e">
        <f t="shared" si="3"/>
        <v>#DIV/0!</v>
      </c>
      <c r="M28" s="623" t="e">
        <f t="shared" si="3"/>
        <v>#DIV/0!</v>
      </c>
      <c r="N28" s="623" t="e">
        <f t="shared" si="3"/>
        <v>#DIV/0!</v>
      </c>
      <c r="O28" s="624" t="e">
        <f t="shared" si="3"/>
        <v>#DIV/0!</v>
      </c>
    </row>
    <row r="29" spans="2:15" ht="15">
      <c r="B29" s="1121"/>
      <c r="C29" s="620" t="s">
        <v>176</v>
      </c>
      <c r="D29" s="625" t="e">
        <f aca="true" t="shared" si="4" ref="D29:O29">D86/D82</f>
        <v>#DIV/0!</v>
      </c>
      <c r="E29" s="625">
        <f t="shared" si="4"/>
        <v>1</v>
      </c>
      <c r="F29" s="625">
        <f t="shared" si="4"/>
        <v>0.5</v>
      </c>
      <c r="G29" s="625">
        <f t="shared" si="4"/>
        <v>0.504950495049505</v>
      </c>
      <c r="H29" s="625">
        <f t="shared" si="4"/>
        <v>0.5098519752965396</v>
      </c>
      <c r="I29" s="625">
        <f t="shared" si="4"/>
        <v>0.5147049260361778</v>
      </c>
      <c r="J29" s="625">
        <f t="shared" si="4"/>
        <v>0.5195098277585919</v>
      </c>
      <c r="K29" s="625">
        <f t="shared" si="4"/>
        <v>1</v>
      </c>
      <c r="L29" s="625">
        <f t="shared" si="4"/>
        <v>1</v>
      </c>
      <c r="M29" s="625">
        <f t="shared" si="4"/>
        <v>1</v>
      </c>
      <c r="N29" s="625">
        <f t="shared" si="4"/>
        <v>1</v>
      </c>
      <c r="O29" s="626">
        <f t="shared" si="4"/>
        <v>1</v>
      </c>
    </row>
    <row r="30" spans="2:15" ht="15">
      <c r="B30" s="1121"/>
      <c r="C30" s="620" t="s">
        <v>162</v>
      </c>
      <c r="D30" s="627" t="e">
        <f aca="true" t="shared" si="5" ref="D30:O30">D90/D82</f>
        <v>#DIV/0!</v>
      </c>
      <c r="E30" s="627">
        <f t="shared" si="5"/>
        <v>1</v>
      </c>
      <c r="F30" s="627">
        <f t="shared" si="5"/>
        <v>0.33</v>
      </c>
      <c r="G30" s="627">
        <f t="shared" si="5"/>
        <v>0.3332673267326733</v>
      </c>
      <c r="H30" s="627">
        <f t="shared" si="5"/>
        <v>0.3365023036957161</v>
      </c>
      <c r="I30" s="627">
        <f t="shared" si="5"/>
        <v>0.3397052511838774</v>
      </c>
      <c r="J30" s="627">
        <f t="shared" si="5"/>
        <v>0.34287648632067064</v>
      </c>
      <c r="K30" s="627">
        <f t="shared" si="5"/>
        <v>0.6599999999999999</v>
      </c>
      <c r="L30" s="627">
        <f t="shared" si="5"/>
        <v>0.6599999999999999</v>
      </c>
      <c r="M30" s="627">
        <f t="shared" si="5"/>
        <v>0.6599999999999999</v>
      </c>
      <c r="N30" s="627">
        <f t="shared" si="5"/>
        <v>0.6599999999999999</v>
      </c>
      <c r="O30" s="627">
        <f t="shared" si="5"/>
        <v>0.6599999999999999</v>
      </c>
    </row>
    <row r="31" spans="2:15" ht="15">
      <c r="B31" s="1121"/>
      <c r="C31" s="620" t="s">
        <v>266</v>
      </c>
      <c r="D31" s="628">
        <f aca="true" t="shared" si="6" ref="D31:O31">D98</f>
        <v>0</v>
      </c>
      <c r="E31" s="628">
        <f t="shared" si="6"/>
        <v>0</v>
      </c>
      <c r="F31" s="628">
        <f t="shared" si="6"/>
        <v>0</v>
      </c>
      <c r="G31" s="628">
        <f t="shared" si="6"/>
        <v>0</v>
      </c>
      <c r="H31" s="628">
        <f t="shared" si="6"/>
        <v>0</v>
      </c>
      <c r="I31" s="628">
        <f t="shared" si="6"/>
        <v>0</v>
      </c>
      <c r="J31" s="628">
        <f t="shared" si="6"/>
        <v>0</v>
      </c>
      <c r="K31" s="628">
        <f t="shared" si="6"/>
        <v>0</v>
      </c>
      <c r="L31" s="628">
        <f t="shared" si="6"/>
        <v>0</v>
      </c>
      <c r="M31" s="628">
        <f t="shared" si="6"/>
        <v>0</v>
      </c>
      <c r="N31" s="628">
        <f t="shared" si="6"/>
        <v>0</v>
      </c>
      <c r="O31" s="629">
        <f t="shared" si="6"/>
        <v>0</v>
      </c>
    </row>
    <row r="32" spans="2:15" ht="15.75" thickBot="1">
      <c r="B32" s="1122"/>
      <c r="C32" s="630" t="s">
        <v>188</v>
      </c>
      <c r="D32" s="631">
        <v>0</v>
      </c>
      <c r="E32" s="632">
        <f>'Costs &amp; Savings'!M29</f>
        <v>0</v>
      </c>
      <c r="F32" s="632">
        <f>'Costs &amp; Savings'!N29</f>
        <v>105000</v>
      </c>
      <c r="G32" s="632">
        <f>'Costs &amp; Savings'!O29</f>
        <v>107100</v>
      </c>
      <c r="H32" s="632">
        <f>'Costs &amp; Savings'!P29</f>
        <v>109221</v>
      </c>
      <c r="I32" s="632">
        <f>'Costs &amp; Savings'!Q29</f>
        <v>111363.21000000002</v>
      </c>
      <c r="J32" s="632">
        <f>'Costs &amp; Savings'!R29</f>
        <v>113526.84210000004</v>
      </c>
      <c r="K32" s="632">
        <f>'Costs &amp; Savings'!S29</f>
        <v>220712.11052100002</v>
      </c>
      <c r="L32" s="632">
        <f>'Costs &amp; Savings'!T29</f>
        <v>222919.23162621004</v>
      </c>
      <c r="M32" s="632">
        <f>'Costs &amp; Savings'!U29</f>
        <v>225148.42394247212</v>
      </c>
      <c r="N32" s="632">
        <f>'Costs &amp; Savings'!V29</f>
        <v>227399.90818189684</v>
      </c>
      <c r="O32" s="633">
        <f>'Costs &amp; Savings'!W29</f>
        <v>229673.90726371584</v>
      </c>
    </row>
    <row r="33" ht="17.25" customHeight="1"/>
    <row r="34" spans="3:16" ht="15.75" thickBot="1">
      <c r="C34" s="741"/>
      <c r="D34" s="741"/>
      <c r="E34" s="741"/>
      <c r="F34" s="741"/>
      <c r="G34" s="741"/>
      <c r="H34" s="741"/>
      <c r="I34" s="741"/>
      <c r="J34" s="741"/>
      <c r="K34" s="741"/>
      <c r="L34" s="741"/>
      <c r="M34" s="741"/>
      <c r="N34" s="741"/>
      <c r="O34" s="741"/>
      <c r="P34" s="741"/>
    </row>
    <row r="35" spans="3:16" ht="15">
      <c r="C35" s="634" t="s">
        <v>322</v>
      </c>
      <c r="D35" s="635"/>
      <c r="E35" s="636" t="s">
        <v>95</v>
      </c>
      <c r="F35" s="636" t="s">
        <v>96</v>
      </c>
      <c r="G35" s="637"/>
      <c r="H35" s="635"/>
      <c r="I35" s="638"/>
      <c r="J35" s="635"/>
      <c r="K35" s="635"/>
      <c r="L35" s="635"/>
      <c r="M35" s="635"/>
      <c r="N35" s="635"/>
      <c r="O35" s="635"/>
      <c r="P35" s="639"/>
    </row>
    <row r="36" spans="3:16" ht="15">
      <c r="C36" s="640" t="s">
        <v>60</v>
      </c>
      <c r="D36" s="641"/>
      <c r="E36" s="642">
        <v>0</v>
      </c>
      <c r="F36" s="642">
        <f aca="true" t="shared" si="7" ref="F36:O36">E36+1</f>
        <v>1</v>
      </c>
      <c r="G36" s="642">
        <f t="shared" si="7"/>
        <v>2</v>
      </c>
      <c r="H36" s="642">
        <f t="shared" si="7"/>
        <v>3</v>
      </c>
      <c r="I36" s="642">
        <f t="shared" si="7"/>
        <v>4</v>
      </c>
      <c r="J36" s="642">
        <f t="shared" si="7"/>
        <v>5</v>
      </c>
      <c r="K36" s="642">
        <f t="shared" si="7"/>
        <v>6</v>
      </c>
      <c r="L36" s="642">
        <f t="shared" si="7"/>
        <v>7</v>
      </c>
      <c r="M36" s="642">
        <f t="shared" si="7"/>
        <v>8</v>
      </c>
      <c r="N36" s="642">
        <f t="shared" si="7"/>
        <v>9</v>
      </c>
      <c r="O36" s="642">
        <f t="shared" si="7"/>
        <v>10</v>
      </c>
      <c r="P36" s="643" t="s">
        <v>61</v>
      </c>
    </row>
    <row r="37" spans="3:16" ht="15.75">
      <c r="C37" s="644" t="s">
        <v>315</v>
      </c>
      <c r="D37" s="645"/>
      <c r="E37" s="642"/>
      <c r="F37" s="642"/>
      <c r="G37" s="646"/>
      <c r="H37" s="646"/>
      <c r="I37" s="646"/>
      <c r="J37" s="646"/>
      <c r="K37" s="646"/>
      <c r="L37" s="646"/>
      <c r="M37" s="646"/>
      <c r="N37" s="646"/>
      <c r="O37" s="646"/>
      <c r="P37" s="647"/>
    </row>
    <row r="38" spans="3:16" ht="15">
      <c r="C38" s="648" t="s">
        <v>102</v>
      </c>
      <c r="D38" s="649"/>
      <c r="E38" s="650"/>
      <c r="F38" s="642"/>
      <c r="G38" s="642"/>
      <c r="H38" s="642"/>
      <c r="I38" s="642"/>
      <c r="J38" s="642"/>
      <c r="K38" s="642"/>
      <c r="L38" s="642"/>
      <c r="M38" s="642"/>
      <c r="N38" s="642"/>
      <c r="O38" s="642"/>
      <c r="P38" s="647"/>
    </row>
    <row r="39" spans="3:16" ht="15">
      <c r="C39" s="651" t="s">
        <v>316</v>
      </c>
      <c r="D39" s="642"/>
      <c r="E39" s="652">
        <f>'Costs &amp; Savings'!M9</f>
        <v>5000</v>
      </c>
      <c r="F39" s="652">
        <f>'Costs &amp; Savings'!N9</f>
        <v>210000</v>
      </c>
      <c r="G39" s="652">
        <f>'Costs &amp; Savings'!O9</f>
        <v>212100</v>
      </c>
      <c r="H39" s="652">
        <f>'Costs &amp; Savings'!P9</f>
        <v>214221</v>
      </c>
      <c r="I39" s="652">
        <f>'Costs &amp; Savings'!Q9</f>
        <v>216363.21000000002</v>
      </c>
      <c r="J39" s="652">
        <f>'Costs &amp; Savings'!R9</f>
        <v>218526.8421</v>
      </c>
      <c r="K39" s="652">
        <f>'Costs &amp; Savings'!S9</f>
        <v>220712.11052100002</v>
      </c>
      <c r="L39" s="652">
        <f>'Costs &amp; Savings'!T9</f>
        <v>222919.23162621004</v>
      </c>
      <c r="M39" s="652">
        <f>'Costs &amp; Savings'!U9</f>
        <v>225148.42394247212</v>
      </c>
      <c r="N39" s="652">
        <f>'Costs &amp; Savings'!V9</f>
        <v>227399.90818189684</v>
      </c>
      <c r="O39" s="652">
        <f>'Costs &amp; Savings'!W9</f>
        <v>229673.90726371584</v>
      </c>
      <c r="P39" s="653">
        <f>SUM(E39:O39)</f>
        <v>2202064.633635295</v>
      </c>
    </row>
    <row r="40" spans="3:16" ht="15">
      <c r="C40" s="651" t="s">
        <v>38</v>
      </c>
      <c r="D40" s="642"/>
      <c r="E40" s="654">
        <v>0</v>
      </c>
      <c r="F40" s="654">
        <v>0</v>
      </c>
      <c r="G40" s="654">
        <v>0</v>
      </c>
      <c r="H40" s="654">
        <v>0</v>
      </c>
      <c r="I40" s="654">
        <v>0</v>
      </c>
      <c r="J40" s="654">
        <v>0</v>
      </c>
      <c r="K40" s="654">
        <v>0</v>
      </c>
      <c r="L40" s="654">
        <v>0</v>
      </c>
      <c r="M40" s="654">
        <v>0</v>
      </c>
      <c r="N40" s="654">
        <v>0</v>
      </c>
      <c r="O40" s="654">
        <v>0</v>
      </c>
      <c r="P40" s="655">
        <f>SUM(E40:O40)</f>
        <v>0</v>
      </c>
    </row>
    <row r="41" spans="3:16" ht="15">
      <c r="C41" s="656" t="s">
        <v>103</v>
      </c>
      <c r="D41" s="657"/>
      <c r="E41" s="658">
        <f aca="true" t="shared" si="8" ref="E41:O41">SUM(E39:E40)</f>
        <v>5000</v>
      </c>
      <c r="F41" s="658">
        <f t="shared" si="8"/>
        <v>210000</v>
      </c>
      <c r="G41" s="658">
        <f t="shared" si="8"/>
        <v>212100</v>
      </c>
      <c r="H41" s="658">
        <f t="shared" si="8"/>
        <v>214221</v>
      </c>
      <c r="I41" s="658">
        <f t="shared" si="8"/>
        <v>216363.21000000002</v>
      </c>
      <c r="J41" s="658">
        <f t="shared" si="8"/>
        <v>218526.8421</v>
      </c>
      <c r="K41" s="658">
        <f t="shared" si="8"/>
        <v>220712.11052100002</v>
      </c>
      <c r="L41" s="658">
        <f t="shared" si="8"/>
        <v>222919.23162621004</v>
      </c>
      <c r="M41" s="658">
        <f t="shared" si="8"/>
        <v>225148.42394247212</v>
      </c>
      <c r="N41" s="658">
        <f t="shared" si="8"/>
        <v>227399.90818189684</v>
      </c>
      <c r="O41" s="658">
        <f t="shared" si="8"/>
        <v>229673.90726371584</v>
      </c>
      <c r="P41" s="653">
        <f>SUM(E41:O41)</f>
        <v>2202064.633635295</v>
      </c>
    </row>
    <row r="42" spans="3:16" ht="15">
      <c r="C42" s="648" t="s">
        <v>104</v>
      </c>
      <c r="D42" s="649"/>
      <c r="E42" s="659"/>
      <c r="F42" s="658"/>
      <c r="G42" s="658"/>
      <c r="H42" s="658"/>
      <c r="I42" s="658"/>
      <c r="J42" s="658"/>
      <c r="K42" s="658"/>
      <c r="L42" s="658"/>
      <c r="M42" s="658"/>
      <c r="N42" s="658"/>
      <c r="O42" s="658"/>
      <c r="P42" s="653"/>
    </row>
    <row r="43" spans="3:16" ht="15">
      <c r="C43" s="651" t="s">
        <v>26</v>
      </c>
      <c r="D43" s="642"/>
      <c r="E43" s="658">
        <v>0</v>
      </c>
      <c r="F43" s="658">
        <v>0</v>
      </c>
      <c r="G43" s="658">
        <v>0</v>
      </c>
      <c r="H43" s="658">
        <v>0</v>
      </c>
      <c r="I43" s="658">
        <v>0</v>
      </c>
      <c r="J43" s="658">
        <v>0</v>
      </c>
      <c r="K43" s="658">
        <v>0</v>
      </c>
      <c r="L43" s="658">
        <v>0</v>
      </c>
      <c r="M43" s="658">
        <v>0</v>
      </c>
      <c r="N43" s="658">
        <v>0</v>
      </c>
      <c r="O43" s="658">
        <v>0</v>
      </c>
      <c r="P43" s="653">
        <f aca="true" t="shared" si="9" ref="P43:P48">SUM(E43:O43)</f>
        <v>0</v>
      </c>
    </row>
    <row r="44" spans="3:16" ht="15">
      <c r="C44" s="651" t="s">
        <v>372</v>
      </c>
      <c r="D44" s="642"/>
      <c r="E44" s="660">
        <f>'Costs &amp; Savings'!M23</f>
        <v>0</v>
      </c>
      <c r="F44" s="661">
        <f>'Costs &amp; Savings'!N23</f>
        <v>105000</v>
      </c>
      <c r="G44" s="661">
        <f>'Costs &amp; Savings'!O23</f>
        <v>105000</v>
      </c>
      <c r="H44" s="661">
        <f>'Costs &amp; Savings'!P23</f>
        <v>105000</v>
      </c>
      <c r="I44" s="661">
        <f>'Costs &amp; Savings'!Q23</f>
        <v>105000</v>
      </c>
      <c r="J44" s="661">
        <f>'Costs &amp; Savings'!R23</f>
        <v>105000</v>
      </c>
      <c r="K44" s="661">
        <f>'Costs &amp; Savings'!S23</f>
        <v>0</v>
      </c>
      <c r="L44" s="661">
        <f>'Costs &amp; Savings'!T23</f>
        <v>0</v>
      </c>
      <c r="M44" s="661">
        <f>'Costs &amp; Savings'!U23</f>
        <v>0</v>
      </c>
      <c r="N44" s="661">
        <f>'Costs &amp; Savings'!V23</f>
        <v>0</v>
      </c>
      <c r="O44" s="661">
        <f>'Costs &amp; Savings'!W23</f>
        <v>0</v>
      </c>
      <c r="P44" s="653">
        <f t="shared" si="9"/>
        <v>525000</v>
      </c>
    </row>
    <row r="45" spans="3:16" ht="15">
      <c r="C45" s="651" t="s">
        <v>105</v>
      </c>
      <c r="D45" s="642"/>
      <c r="E45" s="658">
        <v>0</v>
      </c>
      <c r="F45" s="658">
        <v>0</v>
      </c>
      <c r="G45" s="658">
        <v>0</v>
      </c>
      <c r="H45" s="658">
        <v>0</v>
      </c>
      <c r="I45" s="658">
        <v>0</v>
      </c>
      <c r="J45" s="658">
        <v>0</v>
      </c>
      <c r="K45" s="658">
        <v>0</v>
      </c>
      <c r="L45" s="658">
        <v>0</v>
      </c>
      <c r="M45" s="658">
        <v>0</v>
      </c>
      <c r="N45" s="658">
        <v>0</v>
      </c>
      <c r="O45" s="658">
        <v>0</v>
      </c>
      <c r="P45" s="653">
        <f t="shared" si="9"/>
        <v>0</v>
      </c>
    </row>
    <row r="46" spans="3:16" ht="15">
      <c r="C46" s="651" t="s">
        <v>23</v>
      </c>
      <c r="D46" s="642"/>
      <c r="E46" s="658">
        <v>0</v>
      </c>
      <c r="F46" s="658">
        <v>0</v>
      </c>
      <c r="G46" s="658">
        <v>0</v>
      </c>
      <c r="H46" s="658">
        <v>0</v>
      </c>
      <c r="I46" s="658">
        <v>0</v>
      </c>
      <c r="J46" s="658">
        <v>0</v>
      </c>
      <c r="K46" s="658">
        <v>0</v>
      </c>
      <c r="L46" s="658">
        <v>0</v>
      </c>
      <c r="M46" s="658">
        <v>0</v>
      </c>
      <c r="N46" s="658">
        <v>0</v>
      </c>
      <c r="O46" s="658">
        <v>0</v>
      </c>
      <c r="P46" s="653">
        <f t="shared" si="9"/>
        <v>0</v>
      </c>
    </row>
    <row r="47" spans="3:16" ht="15">
      <c r="C47" s="651" t="s">
        <v>38</v>
      </c>
      <c r="D47" s="642"/>
      <c r="E47" s="654">
        <v>0</v>
      </c>
      <c r="F47" s="654">
        <v>0</v>
      </c>
      <c r="G47" s="654">
        <v>0</v>
      </c>
      <c r="H47" s="654">
        <v>0</v>
      </c>
      <c r="I47" s="654">
        <v>0</v>
      </c>
      <c r="J47" s="654">
        <v>0</v>
      </c>
      <c r="K47" s="654">
        <v>0</v>
      </c>
      <c r="L47" s="654">
        <v>0</v>
      </c>
      <c r="M47" s="654">
        <v>0</v>
      </c>
      <c r="N47" s="654">
        <v>0</v>
      </c>
      <c r="O47" s="654">
        <v>0</v>
      </c>
      <c r="P47" s="653">
        <f t="shared" si="9"/>
        <v>0</v>
      </c>
    </row>
    <row r="48" spans="3:16" ht="15">
      <c r="C48" s="656" t="s">
        <v>106</v>
      </c>
      <c r="D48" s="657"/>
      <c r="E48" s="658">
        <f aca="true" t="shared" si="10" ref="E48:O48">SUM(E43:E47)</f>
        <v>0</v>
      </c>
      <c r="F48" s="658">
        <f t="shared" si="10"/>
        <v>105000</v>
      </c>
      <c r="G48" s="658">
        <f t="shared" si="10"/>
        <v>105000</v>
      </c>
      <c r="H48" s="658">
        <f t="shared" si="10"/>
        <v>105000</v>
      </c>
      <c r="I48" s="658">
        <f t="shared" si="10"/>
        <v>105000</v>
      </c>
      <c r="J48" s="658">
        <f t="shared" si="10"/>
        <v>105000</v>
      </c>
      <c r="K48" s="658">
        <f t="shared" si="10"/>
        <v>0</v>
      </c>
      <c r="L48" s="658">
        <f t="shared" si="10"/>
        <v>0</v>
      </c>
      <c r="M48" s="658">
        <f t="shared" si="10"/>
        <v>0</v>
      </c>
      <c r="N48" s="658">
        <f t="shared" si="10"/>
        <v>0</v>
      </c>
      <c r="O48" s="658">
        <f t="shared" si="10"/>
        <v>0</v>
      </c>
      <c r="P48" s="653">
        <f t="shared" si="9"/>
        <v>525000</v>
      </c>
    </row>
    <row r="49" spans="3:16" ht="15">
      <c r="C49" s="651"/>
      <c r="D49" s="642"/>
      <c r="E49" s="658"/>
      <c r="F49" s="658"/>
      <c r="G49" s="658"/>
      <c r="H49" s="658"/>
      <c r="I49" s="658"/>
      <c r="J49" s="658"/>
      <c r="K49" s="658"/>
      <c r="L49" s="658"/>
      <c r="M49" s="658"/>
      <c r="N49" s="658"/>
      <c r="O49" s="658"/>
      <c r="P49" s="653"/>
    </row>
    <row r="50" spans="3:16" ht="15">
      <c r="C50" s="651" t="s">
        <v>107</v>
      </c>
      <c r="D50" s="642"/>
      <c r="E50" s="658">
        <f aca="true" t="shared" si="11" ref="E50:O50">E41-E48</f>
        <v>5000</v>
      </c>
      <c r="F50" s="658">
        <f>F41-F48</f>
        <v>105000</v>
      </c>
      <c r="G50" s="658">
        <f t="shared" si="11"/>
        <v>107100</v>
      </c>
      <c r="H50" s="658">
        <f t="shared" si="11"/>
        <v>109221</v>
      </c>
      <c r="I50" s="658">
        <f t="shared" si="11"/>
        <v>111363.21000000002</v>
      </c>
      <c r="J50" s="658">
        <f t="shared" si="11"/>
        <v>113526.84210000001</v>
      </c>
      <c r="K50" s="658">
        <f t="shared" si="11"/>
        <v>220712.11052100002</v>
      </c>
      <c r="L50" s="658">
        <f t="shared" si="11"/>
        <v>222919.23162621004</v>
      </c>
      <c r="M50" s="658">
        <f t="shared" si="11"/>
        <v>225148.42394247212</v>
      </c>
      <c r="N50" s="658">
        <f t="shared" si="11"/>
        <v>227399.90818189684</v>
      </c>
      <c r="O50" s="658">
        <f t="shared" si="11"/>
        <v>229673.90726371584</v>
      </c>
      <c r="P50" s="653">
        <f>SUM(E50:O50)</f>
        <v>1677064.6336352949</v>
      </c>
    </row>
    <row r="51" spans="3:16" ht="15">
      <c r="C51" s="651" t="s">
        <v>108</v>
      </c>
      <c r="D51" s="642"/>
      <c r="E51" s="658">
        <f>E50</f>
        <v>5000</v>
      </c>
      <c r="F51" s="658">
        <f aca="true" t="shared" si="12" ref="F51:O51">IF(E51&lt;0,E51+F50,F50)</f>
        <v>105000</v>
      </c>
      <c r="G51" s="658">
        <f t="shared" si="12"/>
        <v>107100</v>
      </c>
      <c r="H51" s="658">
        <f t="shared" si="12"/>
        <v>109221</v>
      </c>
      <c r="I51" s="658">
        <f t="shared" si="12"/>
        <v>111363.21000000002</v>
      </c>
      <c r="J51" s="658">
        <f t="shared" si="12"/>
        <v>113526.84210000001</v>
      </c>
      <c r="K51" s="658">
        <f t="shared" si="12"/>
        <v>220712.11052100002</v>
      </c>
      <c r="L51" s="658">
        <f t="shared" si="12"/>
        <v>222919.23162621004</v>
      </c>
      <c r="M51" s="658">
        <f t="shared" si="12"/>
        <v>225148.42394247212</v>
      </c>
      <c r="N51" s="658">
        <f t="shared" si="12"/>
        <v>227399.90818189684</v>
      </c>
      <c r="O51" s="658">
        <f t="shared" si="12"/>
        <v>229673.90726371584</v>
      </c>
      <c r="P51" s="653">
        <f>SUM(E51:O51)</f>
        <v>1677064.6336352949</v>
      </c>
    </row>
    <row r="52" spans="3:16" ht="15">
      <c r="C52" s="651" t="s">
        <v>109</v>
      </c>
      <c r="D52" s="642"/>
      <c r="E52" s="658">
        <f>IF(E51&gt;0,E51*' Summary'!$J165,0)</f>
        <v>0</v>
      </c>
      <c r="F52" s="658">
        <f>IF(F51&gt;0,F51*' Summary'!$J21,0)</f>
        <v>35700</v>
      </c>
      <c r="G52" s="658">
        <f>IF(G51&gt;0,G51*' Summary'!$J21,0)</f>
        <v>36414</v>
      </c>
      <c r="H52" s="658">
        <f>IF(H51&gt;0,H51*' Summary'!$J21,0)</f>
        <v>37135.14</v>
      </c>
      <c r="I52" s="658">
        <f>IF(I51&gt;0,I51*' Summary'!$J21,0)</f>
        <v>37863.491400000006</v>
      </c>
      <c r="J52" s="658">
        <f>IF(J51&gt;0,J51*' Summary'!$J21,0)</f>
        <v>38599.12631400001</v>
      </c>
      <c r="K52" s="658">
        <f>IF(K51&gt;0,K51*' Summary'!$J21,0)</f>
        <v>75042.11757714002</v>
      </c>
      <c r="L52" s="658">
        <f>IF(L51&gt;0,L51*' Summary'!$J21,0)</f>
        <v>75792.53875291142</v>
      </c>
      <c r="M52" s="658">
        <f>IF(M51&gt;0,M51*' Summary'!$J21,0)</f>
        <v>76550.46414044053</v>
      </c>
      <c r="N52" s="658">
        <f>IF(N51&gt;0,N51*' Summary'!$J21,0)</f>
        <v>77315.96878184493</v>
      </c>
      <c r="O52" s="658">
        <f>IF(O51&gt;0,O51*' Summary'!$J21,0)</f>
        <v>78089.1284696634</v>
      </c>
      <c r="P52" s="653">
        <f>SUM(E52:O52)</f>
        <v>568501.9754360003</v>
      </c>
    </row>
    <row r="53" spans="3:16" ht="15">
      <c r="C53" s="656" t="s">
        <v>110</v>
      </c>
      <c r="D53" s="657"/>
      <c r="E53" s="658">
        <f aca="true" t="shared" si="13" ref="E53:O53">E50-E52</f>
        <v>5000</v>
      </c>
      <c r="F53" s="658">
        <f t="shared" si="13"/>
        <v>69300</v>
      </c>
      <c r="G53" s="658">
        <f t="shared" si="13"/>
        <v>70686</v>
      </c>
      <c r="H53" s="658">
        <f t="shared" si="13"/>
        <v>72085.86</v>
      </c>
      <c r="I53" s="658">
        <f t="shared" si="13"/>
        <v>73499.71860000002</v>
      </c>
      <c r="J53" s="658">
        <f t="shared" si="13"/>
        <v>74927.715786</v>
      </c>
      <c r="K53" s="658">
        <f t="shared" si="13"/>
        <v>145669.99294386</v>
      </c>
      <c r="L53" s="658">
        <f t="shared" si="13"/>
        <v>147126.6928732986</v>
      </c>
      <c r="M53" s="658">
        <f t="shared" si="13"/>
        <v>148597.95980203158</v>
      </c>
      <c r="N53" s="658">
        <f t="shared" si="13"/>
        <v>150083.9394000519</v>
      </c>
      <c r="O53" s="658">
        <f t="shared" si="13"/>
        <v>151584.77879405243</v>
      </c>
      <c r="P53" s="653">
        <f>SUM(E53:O53)</f>
        <v>1108562.6581992945</v>
      </c>
    </row>
    <row r="54" spans="3:16" ht="15">
      <c r="C54" s="662"/>
      <c r="D54" s="663"/>
      <c r="E54" s="658"/>
      <c r="F54" s="658"/>
      <c r="G54" s="658"/>
      <c r="H54" s="658"/>
      <c r="I54" s="658"/>
      <c r="J54" s="658"/>
      <c r="K54" s="658"/>
      <c r="L54" s="658"/>
      <c r="M54" s="658"/>
      <c r="N54" s="658"/>
      <c r="O54" s="658"/>
      <c r="P54" s="653"/>
    </row>
    <row r="55" spans="3:16" ht="15.75">
      <c r="C55" s="644" t="s">
        <v>317</v>
      </c>
      <c r="D55" s="645"/>
      <c r="E55" s="652"/>
      <c r="F55" s="652"/>
      <c r="G55" s="652"/>
      <c r="H55" s="652"/>
      <c r="I55" s="658"/>
      <c r="J55" s="652"/>
      <c r="K55" s="652"/>
      <c r="L55" s="652"/>
      <c r="M55" s="652"/>
      <c r="N55" s="652"/>
      <c r="O55" s="652"/>
      <c r="P55" s="653"/>
    </row>
    <row r="56" spans="3:16" ht="15.75">
      <c r="C56" s="648" t="s">
        <v>222</v>
      </c>
      <c r="D56" s="649"/>
      <c r="E56" s="652"/>
      <c r="F56" s="652"/>
      <c r="G56" s="652"/>
      <c r="H56" s="652"/>
      <c r="I56" s="664"/>
      <c r="J56" s="652"/>
      <c r="K56" s="652"/>
      <c r="L56" s="652"/>
      <c r="M56" s="652"/>
      <c r="N56" s="652"/>
      <c r="O56" s="652"/>
      <c r="P56" s="653"/>
    </row>
    <row r="57" spans="3:16" ht="15">
      <c r="C57" s="665" t="s">
        <v>168</v>
      </c>
      <c r="D57" s="666"/>
      <c r="E57" s="652">
        <f aca="true" t="shared" si="14" ref="E57:O57">E53</f>
        <v>5000</v>
      </c>
      <c r="F57" s="652">
        <f t="shared" si="14"/>
        <v>69300</v>
      </c>
      <c r="G57" s="652">
        <f t="shared" si="14"/>
        <v>70686</v>
      </c>
      <c r="H57" s="652">
        <f t="shared" si="14"/>
        <v>72085.86</v>
      </c>
      <c r="I57" s="652">
        <f t="shared" si="14"/>
        <v>73499.71860000002</v>
      </c>
      <c r="J57" s="652">
        <f t="shared" si="14"/>
        <v>74927.715786</v>
      </c>
      <c r="K57" s="652">
        <f t="shared" si="14"/>
        <v>145669.99294386</v>
      </c>
      <c r="L57" s="652">
        <f t="shared" si="14"/>
        <v>147126.6928732986</v>
      </c>
      <c r="M57" s="652">
        <f t="shared" si="14"/>
        <v>148597.95980203158</v>
      </c>
      <c r="N57" s="652">
        <f t="shared" si="14"/>
        <v>150083.9394000519</v>
      </c>
      <c r="O57" s="652">
        <f t="shared" si="14"/>
        <v>151584.77879405243</v>
      </c>
      <c r="P57" s="653">
        <f>SUM(E57:O57)</f>
        <v>1108562.6581992945</v>
      </c>
    </row>
    <row r="58" spans="3:16" ht="15">
      <c r="C58" s="665" t="s">
        <v>23</v>
      </c>
      <c r="D58" s="666"/>
      <c r="E58" s="652">
        <f aca="true" t="shared" si="15" ref="E58:O58">E46</f>
        <v>0</v>
      </c>
      <c r="F58" s="652">
        <f t="shared" si="15"/>
        <v>0</v>
      </c>
      <c r="G58" s="652">
        <f t="shared" si="15"/>
        <v>0</v>
      </c>
      <c r="H58" s="652">
        <f t="shared" si="15"/>
        <v>0</v>
      </c>
      <c r="I58" s="652">
        <f t="shared" si="15"/>
        <v>0</v>
      </c>
      <c r="J58" s="652">
        <f t="shared" si="15"/>
        <v>0</v>
      </c>
      <c r="K58" s="652">
        <f t="shared" si="15"/>
        <v>0</v>
      </c>
      <c r="L58" s="652">
        <f t="shared" si="15"/>
        <v>0</v>
      </c>
      <c r="M58" s="652">
        <f t="shared" si="15"/>
        <v>0</v>
      </c>
      <c r="N58" s="652">
        <f t="shared" si="15"/>
        <v>0</v>
      </c>
      <c r="O58" s="652">
        <f t="shared" si="15"/>
        <v>0</v>
      </c>
      <c r="P58" s="653">
        <f>SUM(E58:O58)</f>
        <v>0</v>
      </c>
    </row>
    <row r="59" spans="3:16" ht="15">
      <c r="C59" s="651" t="s">
        <v>38</v>
      </c>
      <c r="D59" s="642"/>
      <c r="E59" s="667">
        <v>0</v>
      </c>
      <c r="F59" s="667">
        <v>0</v>
      </c>
      <c r="G59" s="667">
        <v>0</v>
      </c>
      <c r="H59" s="667">
        <v>0</v>
      </c>
      <c r="I59" s="667">
        <v>0</v>
      </c>
      <c r="J59" s="667">
        <v>0</v>
      </c>
      <c r="K59" s="667">
        <v>0</v>
      </c>
      <c r="L59" s="667">
        <v>0</v>
      </c>
      <c r="M59" s="667">
        <v>0</v>
      </c>
      <c r="N59" s="667">
        <v>0</v>
      </c>
      <c r="O59" s="667">
        <v>0</v>
      </c>
      <c r="P59" s="655">
        <f>SUM(E59:O59)</f>
        <v>0</v>
      </c>
    </row>
    <row r="60" spans="3:16" ht="15">
      <c r="C60" s="656" t="s">
        <v>223</v>
      </c>
      <c r="D60" s="657"/>
      <c r="E60" s="652">
        <f aca="true" t="shared" si="16" ref="E60:O60">SUM(E57:E59)</f>
        <v>5000</v>
      </c>
      <c r="F60" s="652">
        <f t="shared" si="16"/>
        <v>69300</v>
      </c>
      <c r="G60" s="652">
        <f t="shared" si="16"/>
        <v>70686</v>
      </c>
      <c r="H60" s="652">
        <f t="shared" si="16"/>
        <v>72085.86</v>
      </c>
      <c r="I60" s="652">
        <f t="shared" si="16"/>
        <v>73499.71860000002</v>
      </c>
      <c r="J60" s="652">
        <f t="shared" si="16"/>
        <v>74927.715786</v>
      </c>
      <c r="K60" s="652">
        <f t="shared" si="16"/>
        <v>145669.99294386</v>
      </c>
      <c r="L60" s="652">
        <f t="shared" si="16"/>
        <v>147126.6928732986</v>
      </c>
      <c r="M60" s="652">
        <f t="shared" si="16"/>
        <v>148597.95980203158</v>
      </c>
      <c r="N60" s="652">
        <f t="shared" si="16"/>
        <v>150083.9394000519</v>
      </c>
      <c r="O60" s="652">
        <f t="shared" si="16"/>
        <v>151584.77879405243</v>
      </c>
      <c r="P60" s="653">
        <f>SUM(E60:O60)</f>
        <v>1108562.6581992945</v>
      </c>
    </row>
    <row r="61" spans="3:16" ht="15">
      <c r="C61" s="668" t="s">
        <v>224</v>
      </c>
      <c r="D61" s="669"/>
      <c r="E61" s="652"/>
      <c r="F61" s="652"/>
      <c r="G61" s="652"/>
      <c r="H61" s="652"/>
      <c r="I61" s="652"/>
      <c r="J61" s="652"/>
      <c r="K61" s="652"/>
      <c r="L61" s="652"/>
      <c r="M61" s="652"/>
      <c r="N61" s="652"/>
      <c r="O61" s="652"/>
      <c r="P61" s="653"/>
    </row>
    <row r="62" spans="3:16" ht="15">
      <c r="C62" s="670" t="s">
        <v>226</v>
      </c>
      <c r="D62" s="671"/>
      <c r="E62" s="652">
        <f>IF(Data!B144=FALSE,-' Summary'!F161,-Debt!M185)</f>
        <v>0</v>
      </c>
      <c r="F62" s="652">
        <v>0</v>
      </c>
      <c r="G62" s="652">
        <v>0</v>
      </c>
      <c r="H62" s="652">
        <v>0</v>
      </c>
      <c r="I62" s="652">
        <v>0</v>
      </c>
      <c r="J62" s="652">
        <v>0</v>
      </c>
      <c r="K62" s="652">
        <v>0</v>
      </c>
      <c r="L62" s="652">
        <v>0</v>
      </c>
      <c r="M62" s="652">
        <v>0</v>
      </c>
      <c r="N62" s="652">
        <v>0</v>
      </c>
      <c r="O62" s="652">
        <v>0</v>
      </c>
      <c r="P62" s="653">
        <f>SUM(E62:O62)</f>
        <v>0</v>
      </c>
    </row>
    <row r="63" spans="3:16" ht="15">
      <c r="C63" s="672" t="s">
        <v>38</v>
      </c>
      <c r="D63" s="673"/>
      <c r="E63" s="667">
        <v>0</v>
      </c>
      <c r="F63" s="667">
        <v>0</v>
      </c>
      <c r="G63" s="667">
        <v>0</v>
      </c>
      <c r="H63" s="667">
        <v>0</v>
      </c>
      <c r="I63" s="667">
        <v>0</v>
      </c>
      <c r="J63" s="667">
        <v>0</v>
      </c>
      <c r="K63" s="667">
        <v>0</v>
      </c>
      <c r="L63" s="667">
        <v>0</v>
      </c>
      <c r="M63" s="667">
        <v>0</v>
      </c>
      <c r="N63" s="667">
        <v>0</v>
      </c>
      <c r="O63" s="667">
        <v>0</v>
      </c>
      <c r="P63" s="655">
        <f>SUM(E63:O63)</f>
        <v>0</v>
      </c>
    </row>
    <row r="64" spans="3:16" ht="15">
      <c r="C64" s="674" t="s">
        <v>223</v>
      </c>
      <c r="D64" s="675"/>
      <c r="E64" s="652">
        <f aca="true" t="shared" si="17" ref="E64:O64">SUM(E62:E63)</f>
        <v>0</v>
      </c>
      <c r="F64" s="652">
        <f t="shared" si="17"/>
        <v>0</v>
      </c>
      <c r="G64" s="652">
        <f t="shared" si="17"/>
        <v>0</v>
      </c>
      <c r="H64" s="652">
        <f t="shared" si="17"/>
        <v>0</v>
      </c>
      <c r="I64" s="652">
        <f t="shared" si="17"/>
        <v>0</v>
      </c>
      <c r="J64" s="652">
        <f t="shared" si="17"/>
        <v>0</v>
      </c>
      <c r="K64" s="652">
        <f t="shared" si="17"/>
        <v>0</v>
      </c>
      <c r="L64" s="652">
        <f t="shared" si="17"/>
        <v>0</v>
      </c>
      <c r="M64" s="652">
        <f t="shared" si="17"/>
        <v>0</v>
      </c>
      <c r="N64" s="652">
        <f t="shared" si="17"/>
        <v>0</v>
      </c>
      <c r="O64" s="652">
        <f t="shared" si="17"/>
        <v>0</v>
      </c>
      <c r="P64" s="653">
        <f>SUM(E64:O64)</f>
        <v>0</v>
      </c>
    </row>
    <row r="65" spans="3:16" ht="15">
      <c r="C65" s="668" t="s">
        <v>225</v>
      </c>
      <c r="D65" s="669"/>
      <c r="E65" s="652"/>
      <c r="F65" s="652"/>
      <c r="G65" s="652"/>
      <c r="H65" s="652"/>
      <c r="I65" s="652"/>
      <c r="J65" s="652"/>
      <c r="K65" s="652"/>
      <c r="L65" s="652"/>
      <c r="M65" s="652"/>
      <c r="N65" s="652"/>
      <c r="O65" s="652"/>
      <c r="P65" s="653"/>
    </row>
    <row r="66" spans="3:16" ht="15">
      <c r="C66" s="672" t="s">
        <v>240</v>
      </c>
      <c r="D66" s="673"/>
      <c r="E66" s="652">
        <f>Debt!M185</f>
        <v>0</v>
      </c>
      <c r="F66" s="652">
        <v>0</v>
      </c>
      <c r="G66" s="652">
        <v>0</v>
      </c>
      <c r="H66" s="652">
        <v>0</v>
      </c>
      <c r="I66" s="652">
        <v>0</v>
      </c>
      <c r="J66" s="652">
        <v>0</v>
      </c>
      <c r="K66" s="652">
        <v>0</v>
      </c>
      <c r="L66" s="652">
        <v>0</v>
      </c>
      <c r="M66" s="652">
        <v>0</v>
      </c>
      <c r="N66" s="652">
        <v>0</v>
      </c>
      <c r="O66" s="652">
        <v>0</v>
      </c>
      <c r="P66" s="653">
        <f>SUM(E66:O66)</f>
        <v>0</v>
      </c>
    </row>
    <row r="67" spans="3:16" ht="15">
      <c r="C67" s="670" t="s">
        <v>97</v>
      </c>
      <c r="D67" s="671"/>
      <c r="E67" s="652">
        <f>Debt!B160</f>
        <v>0</v>
      </c>
      <c r="F67" s="652">
        <v>0</v>
      </c>
      <c r="G67" s="652">
        <v>0</v>
      </c>
      <c r="H67" s="652">
        <v>0</v>
      </c>
      <c r="I67" s="652">
        <v>0</v>
      </c>
      <c r="J67" s="652">
        <v>0</v>
      </c>
      <c r="K67" s="652">
        <v>0</v>
      </c>
      <c r="L67" s="652">
        <v>0</v>
      </c>
      <c r="M67" s="652">
        <v>0</v>
      </c>
      <c r="N67" s="652">
        <v>0</v>
      </c>
      <c r="O67" s="652">
        <v>0</v>
      </c>
      <c r="P67" s="653">
        <f>SUM(E67:O67)</f>
        <v>0</v>
      </c>
    </row>
    <row r="68" spans="3:16" ht="15">
      <c r="C68" s="670" t="s">
        <v>98</v>
      </c>
      <c r="D68" s="671"/>
      <c r="E68" s="652"/>
      <c r="F68" s="652">
        <v>0</v>
      </c>
      <c r="G68" s="652">
        <v>0</v>
      </c>
      <c r="H68" s="652">
        <v>0</v>
      </c>
      <c r="I68" s="652">
        <v>0</v>
      </c>
      <c r="J68" s="652">
        <v>0</v>
      </c>
      <c r="K68" s="652">
        <v>0</v>
      </c>
      <c r="L68" s="652">
        <v>0</v>
      </c>
      <c r="M68" s="652">
        <v>0</v>
      </c>
      <c r="N68" s="652">
        <v>0</v>
      </c>
      <c r="O68" s="652">
        <v>0</v>
      </c>
      <c r="P68" s="653">
        <f>SUM(E68:O68)</f>
        <v>0</v>
      </c>
    </row>
    <row r="69" spans="3:16" ht="15">
      <c r="C69" s="670" t="s">
        <v>241</v>
      </c>
      <c r="D69" s="671"/>
      <c r="E69" s="667">
        <f>Debt!B164+Debt!B170</f>
        <v>0</v>
      </c>
      <c r="F69" s="667">
        <v>0</v>
      </c>
      <c r="G69" s="667">
        <v>0</v>
      </c>
      <c r="H69" s="667">
        <v>0</v>
      </c>
      <c r="I69" s="667">
        <v>0</v>
      </c>
      <c r="J69" s="667">
        <v>0</v>
      </c>
      <c r="K69" s="667">
        <v>0</v>
      </c>
      <c r="L69" s="667">
        <v>0</v>
      </c>
      <c r="M69" s="667">
        <v>0</v>
      </c>
      <c r="N69" s="667">
        <v>0</v>
      </c>
      <c r="O69" s="667">
        <v>0</v>
      </c>
      <c r="P69" s="655">
        <f>SUM(E69:O69)</f>
        <v>0</v>
      </c>
    </row>
    <row r="70" spans="3:16" ht="15">
      <c r="C70" s="674" t="s">
        <v>223</v>
      </c>
      <c r="D70" s="675"/>
      <c r="E70" s="652">
        <f aca="true" t="shared" si="18" ref="E70:P70">SUM(E66:E69)</f>
        <v>0</v>
      </c>
      <c r="F70" s="652">
        <f t="shared" si="18"/>
        <v>0</v>
      </c>
      <c r="G70" s="652">
        <f t="shared" si="18"/>
        <v>0</v>
      </c>
      <c r="H70" s="652">
        <f t="shared" si="18"/>
        <v>0</v>
      </c>
      <c r="I70" s="652">
        <f t="shared" si="18"/>
        <v>0</v>
      </c>
      <c r="J70" s="652">
        <f t="shared" si="18"/>
        <v>0</v>
      </c>
      <c r="K70" s="652">
        <f t="shared" si="18"/>
        <v>0</v>
      </c>
      <c r="L70" s="652">
        <f t="shared" si="18"/>
        <v>0</v>
      </c>
      <c r="M70" s="652">
        <f t="shared" si="18"/>
        <v>0</v>
      </c>
      <c r="N70" s="652">
        <f t="shared" si="18"/>
        <v>0</v>
      </c>
      <c r="O70" s="652">
        <f t="shared" si="18"/>
        <v>0</v>
      </c>
      <c r="P70" s="676">
        <f t="shared" si="18"/>
        <v>0</v>
      </c>
    </row>
    <row r="71" spans="3:16" ht="15">
      <c r="C71" s="674"/>
      <c r="D71" s="675"/>
      <c r="E71" s="652"/>
      <c r="F71" s="652"/>
      <c r="G71" s="652"/>
      <c r="H71" s="652"/>
      <c r="I71" s="652"/>
      <c r="J71" s="652"/>
      <c r="K71" s="652"/>
      <c r="L71" s="652"/>
      <c r="M71" s="652"/>
      <c r="N71" s="652"/>
      <c r="O71" s="652"/>
      <c r="P71" s="653"/>
    </row>
    <row r="72" spans="3:16" ht="15">
      <c r="C72" s="677" t="s">
        <v>318</v>
      </c>
      <c r="D72" s="678"/>
      <c r="E72" s="679" t="s">
        <v>139</v>
      </c>
      <c r="F72" s="652"/>
      <c r="G72" s="652"/>
      <c r="H72" s="652"/>
      <c r="I72" s="652"/>
      <c r="J72" s="652"/>
      <c r="K72" s="652"/>
      <c r="L72" s="652"/>
      <c r="M72" s="652"/>
      <c r="N72" s="652"/>
      <c r="O72" s="652"/>
      <c r="P72" s="653"/>
    </row>
    <row r="73" spans="3:16" ht="15">
      <c r="C73" s="680" t="s">
        <v>218</v>
      </c>
      <c r="D73" s="681"/>
      <c r="E73" s="652">
        <f aca="true" t="shared" si="19" ref="E73:O73">E60+E64+E70</f>
        <v>5000</v>
      </c>
      <c r="F73" s="652">
        <f t="shared" si="19"/>
        <v>69300</v>
      </c>
      <c r="G73" s="652">
        <f t="shared" si="19"/>
        <v>70686</v>
      </c>
      <c r="H73" s="652">
        <f t="shared" si="19"/>
        <v>72085.86</v>
      </c>
      <c r="I73" s="652">
        <f t="shared" si="19"/>
        <v>73499.71860000002</v>
      </c>
      <c r="J73" s="652">
        <f t="shared" si="19"/>
        <v>74927.715786</v>
      </c>
      <c r="K73" s="652">
        <f t="shared" si="19"/>
        <v>145669.99294386</v>
      </c>
      <c r="L73" s="652">
        <f t="shared" si="19"/>
        <v>147126.6928732986</v>
      </c>
      <c r="M73" s="652">
        <f t="shared" si="19"/>
        <v>148597.95980203158</v>
      </c>
      <c r="N73" s="652">
        <f t="shared" si="19"/>
        <v>150083.9394000519</v>
      </c>
      <c r="O73" s="652">
        <f t="shared" si="19"/>
        <v>151584.77879405243</v>
      </c>
      <c r="P73" s="653">
        <f>SUM(E73:O73)</f>
        <v>1108562.6581992945</v>
      </c>
    </row>
    <row r="74" spans="3:19" ht="15">
      <c r="C74" s="680" t="s">
        <v>319</v>
      </c>
      <c r="D74" s="681"/>
      <c r="E74" s="652">
        <f>E73</f>
        <v>5000</v>
      </c>
      <c r="F74" s="652">
        <f aca="true" t="shared" si="20" ref="F74:O74">E74+F73</f>
        <v>74300</v>
      </c>
      <c r="G74" s="652">
        <f t="shared" si="20"/>
        <v>144986</v>
      </c>
      <c r="H74" s="652">
        <f t="shared" si="20"/>
        <v>217071.86</v>
      </c>
      <c r="I74" s="652">
        <f t="shared" si="20"/>
        <v>290571.5786</v>
      </c>
      <c r="J74" s="652">
        <f t="shared" si="20"/>
        <v>365499.294386</v>
      </c>
      <c r="K74" s="652">
        <f t="shared" si="20"/>
        <v>511169.28732986003</v>
      </c>
      <c r="L74" s="652">
        <f t="shared" si="20"/>
        <v>658295.9802031587</v>
      </c>
      <c r="M74" s="652">
        <f t="shared" si="20"/>
        <v>806893.9400051902</v>
      </c>
      <c r="N74" s="652">
        <f t="shared" si="20"/>
        <v>956977.8794052422</v>
      </c>
      <c r="O74" s="652">
        <f t="shared" si="20"/>
        <v>1108562.6581992945</v>
      </c>
      <c r="P74" s="653"/>
      <c r="R74" s="156"/>
      <c r="S74" s="156"/>
    </row>
    <row r="75" spans="3:16" ht="15">
      <c r="C75" s="680" t="s">
        <v>320</v>
      </c>
      <c r="D75" s="681"/>
      <c r="E75" s="658"/>
      <c r="F75" s="682" t="e">
        <f>IRR(E73:O73)</f>
        <v>#NUM!</v>
      </c>
      <c r="G75" s="658"/>
      <c r="H75" s="658"/>
      <c r="I75" s="658"/>
      <c r="J75" s="658"/>
      <c r="K75" s="658"/>
      <c r="L75" s="658"/>
      <c r="M75" s="658"/>
      <c r="N75" s="658"/>
      <c r="O75" s="658"/>
      <c r="P75" s="653"/>
    </row>
    <row r="76" spans="3:16" ht="15.75" thickBot="1">
      <c r="C76" s="683" t="s">
        <v>323</v>
      </c>
      <c r="D76" s="684"/>
      <c r="E76" s="685">
        <f>Discount_rate</f>
        <v>0</v>
      </c>
      <c r="F76" s="686">
        <f>NPV(E76,F73:O73)+E73</f>
        <v>1108562.6581992945</v>
      </c>
      <c r="G76" s="687"/>
      <c r="H76" s="687"/>
      <c r="I76" s="687"/>
      <c r="J76" s="687"/>
      <c r="K76" s="687"/>
      <c r="L76" s="687"/>
      <c r="M76" s="687"/>
      <c r="N76" s="687"/>
      <c r="O76" s="687"/>
      <c r="P76" s="688"/>
    </row>
    <row r="77" spans="3:16" ht="15">
      <c r="C77" s="689"/>
      <c r="D77" s="689"/>
      <c r="E77" s="690"/>
      <c r="F77" s="690"/>
      <c r="G77" s="691"/>
      <c r="H77" s="690"/>
      <c r="I77" s="690"/>
      <c r="J77" s="690"/>
      <c r="K77" s="690"/>
      <c r="L77" s="690"/>
      <c r="M77" s="690"/>
      <c r="N77" s="690"/>
      <c r="O77" s="690"/>
      <c r="P77" s="690"/>
    </row>
    <row r="78" spans="3:16" ht="16.5" thickBot="1">
      <c r="C78" s="692"/>
      <c r="D78" s="692"/>
      <c r="E78" s="693"/>
      <c r="F78" s="690"/>
      <c r="G78" s="690"/>
      <c r="H78" s="690"/>
      <c r="I78" s="694"/>
      <c r="J78" s="690"/>
      <c r="K78" s="690"/>
      <c r="L78" s="690"/>
      <c r="M78" s="690"/>
      <c r="N78" s="690"/>
      <c r="O78" s="690"/>
      <c r="P78" s="694"/>
    </row>
    <row r="79" spans="3:16" ht="15">
      <c r="C79" s="1118" t="s">
        <v>324</v>
      </c>
      <c r="D79" s="695" t="s">
        <v>248</v>
      </c>
      <c r="E79" s="696" t="str">
        <f>E35</f>
        <v>Construction</v>
      </c>
      <c r="F79" s="696" t="str">
        <f>F35</f>
        <v>Operations</v>
      </c>
      <c r="G79" s="697"/>
      <c r="H79" s="697"/>
      <c r="I79" s="697"/>
      <c r="J79" s="697"/>
      <c r="K79" s="697"/>
      <c r="L79" s="697"/>
      <c r="M79" s="697"/>
      <c r="N79" s="697"/>
      <c r="O79" s="698"/>
      <c r="P79" s="694"/>
    </row>
    <row r="80" spans="3:16" ht="15.75" thickBot="1">
      <c r="C80" s="1119"/>
      <c r="D80" s="699"/>
      <c r="E80" s="700"/>
      <c r="F80" s="701">
        <f>F36</f>
        <v>1</v>
      </c>
      <c r="G80" s="701">
        <f>G36</f>
        <v>2</v>
      </c>
      <c r="H80" s="701">
        <f aca="true" t="shared" si="21" ref="H80:O80">H36</f>
        <v>3</v>
      </c>
      <c r="I80" s="701">
        <f t="shared" si="21"/>
        <v>4</v>
      </c>
      <c r="J80" s="701">
        <f t="shared" si="21"/>
        <v>5</v>
      </c>
      <c r="K80" s="701">
        <f t="shared" si="21"/>
        <v>6</v>
      </c>
      <c r="L80" s="701">
        <f t="shared" si="21"/>
        <v>7</v>
      </c>
      <c r="M80" s="701">
        <f t="shared" si="21"/>
        <v>8</v>
      </c>
      <c r="N80" s="701">
        <f t="shared" si="21"/>
        <v>9</v>
      </c>
      <c r="O80" s="702">
        <f t="shared" si="21"/>
        <v>10</v>
      </c>
      <c r="P80" s="694"/>
    </row>
    <row r="81" spans="3:16" ht="15">
      <c r="C81" s="703" t="s">
        <v>156</v>
      </c>
      <c r="D81" s="704"/>
      <c r="E81" s="705"/>
      <c r="F81" s="658"/>
      <c r="G81" s="658"/>
      <c r="H81" s="658"/>
      <c r="I81" s="658"/>
      <c r="J81" s="658"/>
      <c r="K81" s="658"/>
      <c r="L81" s="658"/>
      <c r="M81" s="658"/>
      <c r="N81" s="658"/>
      <c r="O81" s="653"/>
      <c r="P81" s="694"/>
    </row>
    <row r="82" spans="3:16" ht="15">
      <c r="C82" s="706" t="s">
        <v>145</v>
      </c>
      <c r="D82" s="707">
        <f>Customer_Income</f>
        <v>0</v>
      </c>
      <c r="E82" s="705">
        <f aca="true" t="shared" si="22" ref="E82:O82">$D82+E41</f>
        <v>5000</v>
      </c>
      <c r="F82" s="705">
        <f t="shared" si="22"/>
        <v>210000</v>
      </c>
      <c r="G82" s="705">
        <f t="shared" si="22"/>
        <v>212100</v>
      </c>
      <c r="H82" s="705">
        <f t="shared" si="22"/>
        <v>214221</v>
      </c>
      <c r="I82" s="705">
        <f t="shared" si="22"/>
        <v>216363.21000000002</v>
      </c>
      <c r="J82" s="705">
        <f t="shared" si="22"/>
        <v>218526.8421</v>
      </c>
      <c r="K82" s="705">
        <f t="shared" si="22"/>
        <v>220712.11052100002</v>
      </c>
      <c r="L82" s="705">
        <f t="shared" si="22"/>
        <v>222919.23162621004</v>
      </c>
      <c r="M82" s="705">
        <f t="shared" si="22"/>
        <v>225148.42394247212</v>
      </c>
      <c r="N82" s="705">
        <f t="shared" si="22"/>
        <v>227399.90818189684</v>
      </c>
      <c r="O82" s="708">
        <f t="shared" si="22"/>
        <v>229673.90726371584</v>
      </c>
      <c r="P82" s="694"/>
    </row>
    <row r="83" spans="3:16" ht="15">
      <c r="C83" s="706" t="s">
        <v>186</v>
      </c>
      <c r="D83" s="707">
        <f>Customer_Expenses</f>
        <v>0</v>
      </c>
      <c r="E83" s="705">
        <f aca="true" t="shared" si="23" ref="E83:O83">$D83+E43+E44+E47</f>
        <v>0</v>
      </c>
      <c r="F83" s="705">
        <f t="shared" si="23"/>
        <v>105000</v>
      </c>
      <c r="G83" s="705">
        <f t="shared" si="23"/>
        <v>105000</v>
      </c>
      <c r="H83" s="705">
        <f t="shared" si="23"/>
        <v>105000</v>
      </c>
      <c r="I83" s="705">
        <f t="shared" si="23"/>
        <v>105000</v>
      </c>
      <c r="J83" s="705">
        <f t="shared" si="23"/>
        <v>105000</v>
      </c>
      <c r="K83" s="705">
        <f t="shared" si="23"/>
        <v>0</v>
      </c>
      <c r="L83" s="705">
        <f t="shared" si="23"/>
        <v>0</v>
      </c>
      <c r="M83" s="705">
        <f t="shared" si="23"/>
        <v>0</v>
      </c>
      <c r="N83" s="705">
        <f t="shared" si="23"/>
        <v>0</v>
      </c>
      <c r="O83" s="708">
        <f t="shared" si="23"/>
        <v>0</v>
      </c>
      <c r="P83" s="694"/>
    </row>
    <row r="84" spans="3:16" ht="15">
      <c r="C84" s="706" t="s">
        <v>23</v>
      </c>
      <c r="D84" s="707">
        <f>' Summary'!F42</f>
        <v>0</v>
      </c>
      <c r="E84" s="705">
        <f aca="true" t="shared" si="24" ref="E84:O84">$D84+E46</f>
        <v>0</v>
      </c>
      <c r="F84" s="705">
        <f t="shared" si="24"/>
        <v>0</v>
      </c>
      <c r="G84" s="705">
        <f t="shared" si="24"/>
        <v>0</v>
      </c>
      <c r="H84" s="705">
        <f t="shared" si="24"/>
        <v>0</v>
      </c>
      <c r="I84" s="705">
        <f t="shared" si="24"/>
        <v>0</v>
      </c>
      <c r="J84" s="705">
        <f t="shared" si="24"/>
        <v>0</v>
      </c>
      <c r="K84" s="705">
        <f t="shared" si="24"/>
        <v>0</v>
      </c>
      <c r="L84" s="705">
        <f t="shared" si="24"/>
        <v>0</v>
      </c>
      <c r="M84" s="705">
        <f t="shared" si="24"/>
        <v>0</v>
      </c>
      <c r="N84" s="705">
        <f t="shared" si="24"/>
        <v>0</v>
      </c>
      <c r="O84" s="708">
        <f t="shared" si="24"/>
        <v>0</v>
      </c>
      <c r="P84" s="694"/>
    </row>
    <row r="85" spans="3:16" ht="15">
      <c r="C85" s="706" t="s">
        <v>185</v>
      </c>
      <c r="D85" s="707">
        <f>Customer_Energy_Expenses</f>
        <v>0</v>
      </c>
      <c r="E85" s="705">
        <f>$D85</f>
        <v>0</v>
      </c>
      <c r="F85" s="705">
        <f aca="true" t="shared" si="25" ref="F85:O85">$D85</f>
        <v>0</v>
      </c>
      <c r="G85" s="705">
        <f t="shared" si="25"/>
        <v>0</v>
      </c>
      <c r="H85" s="705">
        <f t="shared" si="25"/>
        <v>0</v>
      </c>
      <c r="I85" s="705">
        <f t="shared" si="25"/>
        <v>0</v>
      </c>
      <c r="J85" s="705">
        <f t="shared" si="25"/>
        <v>0</v>
      </c>
      <c r="K85" s="705">
        <f t="shared" si="25"/>
        <v>0</v>
      </c>
      <c r="L85" s="705">
        <f t="shared" si="25"/>
        <v>0</v>
      </c>
      <c r="M85" s="705">
        <f t="shared" si="25"/>
        <v>0</v>
      </c>
      <c r="N85" s="705">
        <f t="shared" si="25"/>
        <v>0</v>
      </c>
      <c r="O85" s="708">
        <f t="shared" si="25"/>
        <v>0</v>
      </c>
      <c r="P85" s="694"/>
    </row>
    <row r="86" spans="3:16" ht="15">
      <c r="C86" s="709" t="s">
        <v>164</v>
      </c>
      <c r="D86" s="710">
        <f>D82-D83-D84-D85</f>
        <v>0</v>
      </c>
      <c r="E86" s="710">
        <f aca="true" t="shared" si="26" ref="E86:O86">E82-E83-E84-E85</f>
        <v>5000</v>
      </c>
      <c r="F86" s="710">
        <f t="shared" si="26"/>
        <v>105000</v>
      </c>
      <c r="G86" s="710">
        <f t="shared" si="26"/>
        <v>107100</v>
      </c>
      <c r="H86" s="710">
        <f t="shared" si="26"/>
        <v>109221</v>
      </c>
      <c r="I86" s="710">
        <f t="shared" si="26"/>
        <v>111363.21000000002</v>
      </c>
      <c r="J86" s="710">
        <f t="shared" si="26"/>
        <v>113526.84210000001</v>
      </c>
      <c r="K86" s="710">
        <f t="shared" si="26"/>
        <v>220712.11052100002</v>
      </c>
      <c r="L86" s="710">
        <f t="shared" si="26"/>
        <v>222919.23162621004</v>
      </c>
      <c r="M86" s="710">
        <f t="shared" si="26"/>
        <v>225148.42394247212</v>
      </c>
      <c r="N86" s="710">
        <f t="shared" si="26"/>
        <v>227399.90818189684</v>
      </c>
      <c r="O86" s="711">
        <f t="shared" si="26"/>
        <v>229673.90726371584</v>
      </c>
      <c r="P86" s="694"/>
    </row>
    <row r="87" spans="3:16" ht="15">
      <c r="C87" s="706" t="s">
        <v>207</v>
      </c>
      <c r="D87" s="707">
        <f>Customer_Interest_Expenses</f>
        <v>0</v>
      </c>
      <c r="E87" s="705">
        <f aca="true" t="shared" si="27" ref="E87:O87">$D87+E45</f>
        <v>0</v>
      </c>
      <c r="F87" s="705">
        <f t="shared" si="27"/>
        <v>0</v>
      </c>
      <c r="G87" s="705">
        <f t="shared" si="27"/>
        <v>0</v>
      </c>
      <c r="H87" s="705">
        <f t="shared" si="27"/>
        <v>0</v>
      </c>
      <c r="I87" s="705">
        <f t="shared" si="27"/>
        <v>0</v>
      </c>
      <c r="J87" s="705">
        <f t="shared" si="27"/>
        <v>0</v>
      </c>
      <c r="K87" s="705">
        <f t="shared" si="27"/>
        <v>0</v>
      </c>
      <c r="L87" s="705">
        <f t="shared" si="27"/>
        <v>0</v>
      </c>
      <c r="M87" s="705">
        <f t="shared" si="27"/>
        <v>0</v>
      </c>
      <c r="N87" s="705">
        <f t="shared" si="27"/>
        <v>0</v>
      </c>
      <c r="O87" s="708">
        <f t="shared" si="27"/>
        <v>0</v>
      </c>
      <c r="P87" s="694"/>
    </row>
    <row r="88" spans="3:16" ht="15">
      <c r="C88" s="712" t="s">
        <v>249</v>
      </c>
      <c r="D88" s="710">
        <f>D86-D87</f>
        <v>0</v>
      </c>
      <c r="E88" s="710">
        <f aca="true" t="shared" si="28" ref="E88:O88">E86-E87</f>
        <v>5000</v>
      </c>
      <c r="F88" s="710">
        <f t="shared" si="28"/>
        <v>105000</v>
      </c>
      <c r="G88" s="710">
        <f t="shared" si="28"/>
        <v>107100</v>
      </c>
      <c r="H88" s="710">
        <f t="shared" si="28"/>
        <v>109221</v>
      </c>
      <c r="I88" s="710">
        <f t="shared" si="28"/>
        <v>111363.21000000002</v>
      </c>
      <c r="J88" s="710">
        <f t="shared" si="28"/>
        <v>113526.84210000001</v>
      </c>
      <c r="K88" s="710">
        <f t="shared" si="28"/>
        <v>220712.11052100002</v>
      </c>
      <c r="L88" s="710">
        <f t="shared" si="28"/>
        <v>222919.23162621004</v>
      </c>
      <c r="M88" s="710">
        <f t="shared" si="28"/>
        <v>225148.42394247212</v>
      </c>
      <c r="N88" s="710">
        <f t="shared" si="28"/>
        <v>227399.90818189684</v>
      </c>
      <c r="O88" s="711">
        <f t="shared" si="28"/>
        <v>229673.90726371584</v>
      </c>
      <c r="P88" s="694"/>
    </row>
    <row r="89" spans="3:16" ht="15">
      <c r="C89" s="706" t="s">
        <v>163</v>
      </c>
      <c r="D89" s="707" t="b">
        <f>IF(D88&gt;0,D88*' Summary'!J21)</f>
        <v>0</v>
      </c>
      <c r="E89" s="705">
        <f aca="true" t="shared" si="29" ref="E89:O89">$D89+E52</f>
        <v>0</v>
      </c>
      <c r="F89" s="705">
        <f t="shared" si="29"/>
        <v>35700</v>
      </c>
      <c r="G89" s="705">
        <f t="shared" si="29"/>
        <v>36414</v>
      </c>
      <c r="H89" s="705">
        <f t="shared" si="29"/>
        <v>37135.14</v>
      </c>
      <c r="I89" s="705">
        <f t="shared" si="29"/>
        <v>37863.491400000006</v>
      </c>
      <c r="J89" s="705">
        <f t="shared" si="29"/>
        <v>38599.12631400001</v>
      </c>
      <c r="K89" s="705">
        <f t="shared" si="29"/>
        <v>75042.11757714002</v>
      </c>
      <c r="L89" s="705">
        <f t="shared" si="29"/>
        <v>75792.53875291142</v>
      </c>
      <c r="M89" s="705">
        <f t="shared" si="29"/>
        <v>76550.46414044053</v>
      </c>
      <c r="N89" s="705">
        <f t="shared" si="29"/>
        <v>77315.96878184493</v>
      </c>
      <c r="O89" s="708">
        <f t="shared" si="29"/>
        <v>78089.1284696634</v>
      </c>
      <c r="P89" s="694"/>
    </row>
    <row r="90" spans="3:16" ht="15.75" thickBot="1">
      <c r="C90" s="709" t="s">
        <v>146</v>
      </c>
      <c r="D90" s="710">
        <f aca="true" t="shared" si="30" ref="D90:O90">D88-D89</f>
        <v>0</v>
      </c>
      <c r="E90" s="710">
        <f t="shared" si="30"/>
        <v>5000</v>
      </c>
      <c r="F90" s="710">
        <f t="shared" si="30"/>
        <v>69300</v>
      </c>
      <c r="G90" s="710">
        <f t="shared" si="30"/>
        <v>70686</v>
      </c>
      <c r="H90" s="710">
        <f t="shared" si="30"/>
        <v>72085.86</v>
      </c>
      <c r="I90" s="710">
        <f t="shared" si="30"/>
        <v>73499.71860000002</v>
      </c>
      <c r="J90" s="710">
        <f t="shared" si="30"/>
        <v>74927.715786</v>
      </c>
      <c r="K90" s="710">
        <f t="shared" si="30"/>
        <v>145669.99294386</v>
      </c>
      <c r="L90" s="710">
        <f t="shared" si="30"/>
        <v>147126.6928732986</v>
      </c>
      <c r="M90" s="710">
        <f t="shared" si="30"/>
        <v>148597.95980203158</v>
      </c>
      <c r="N90" s="710">
        <f t="shared" si="30"/>
        <v>150083.9394000519</v>
      </c>
      <c r="O90" s="711">
        <f t="shared" si="30"/>
        <v>151584.77879405243</v>
      </c>
      <c r="P90" s="694"/>
    </row>
    <row r="91" spans="3:16" ht="15.75" thickBot="1">
      <c r="C91" s="713"/>
      <c r="D91" s="714"/>
      <c r="E91" s="715"/>
      <c r="F91" s="716"/>
      <c r="G91" s="716"/>
      <c r="H91" s="716"/>
      <c r="I91" s="716"/>
      <c r="J91" s="716"/>
      <c r="K91" s="716"/>
      <c r="L91" s="716"/>
      <c r="M91" s="716"/>
      <c r="N91" s="716"/>
      <c r="O91" s="717"/>
      <c r="P91" s="694"/>
    </row>
    <row r="92" spans="3:16" ht="15">
      <c r="C92" s="703" t="s">
        <v>155</v>
      </c>
      <c r="D92" s="642"/>
      <c r="E92" s="705"/>
      <c r="F92" s="658"/>
      <c r="G92" s="658"/>
      <c r="H92" s="658"/>
      <c r="I92" s="658"/>
      <c r="J92" s="658"/>
      <c r="K92" s="658"/>
      <c r="L92" s="658"/>
      <c r="M92" s="658"/>
      <c r="N92" s="658"/>
      <c r="O92" s="653"/>
      <c r="P92" s="694"/>
    </row>
    <row r="93" spans="3:16" ht="15">
      <c r="C93" s="718" t="s">
        <v>159</v>
      </c>
      <c r="D93" s="710">
        <f aca="true" t="shared" si="31" ref="D93:O93">D94+D95+D96</f>
        <v>10000</v>
      </c>
      <c r="E93" s="710">
        <f t="shared" si="31"/>
        <v>15000</v>
      </c>
      <c r="F93" s="710">
        <f t="shared" si="31"/>
        <v>84300</v>
      </c>
      <c r="G93" s="710">
        <f t="shared" si="31"/>
        <v>154986</v>
      </c>
      <c r="H93" s="710">
        <f t="shared" si="31"/>
        <v>227071.86</v>
      </c>
      <c r="I93" s="710">
        <f t="shared" si="31"/>
        <v>300571.5786</v>
      </c>
      <c r="J93" s="710">
        <f t="shared" si="31"/>
        <v>375499.294386</v>
      </c>
      <c r="K93" s="710">
        <f t="shared" si="31"/>
        <v>521169.28732986003</v>
      </c>
      <c r="L93" s="710">
        <f t="shared" si="31"/>
        <v>668295.9802031587</v>
      </c>
      <c r="M93" s="710">
        <f t="shared" si="31"/>
        <v>816893.9400051902</v>
      </c>
      <c r="N93" s="710">
        <f t="shared" si="31"/>
        <v>966977.8794052422</v>
      </c>
      <c r="O93" s="711">
        <f t="shared" si="31"/>
        <v>1118562.6581992945</v>
      </c>
      <c r="P93" s="694"/>
    </row>
    <row r="94" spans="3:16" ht="15">
      <c r="C94" s="719" t="s">
        <v>165</v>
      </c>
      <c r="D94" s="707">
        <f>Customer_Long_term_or_Fixed_Assets</f>
        <v>0</v>
      </c>
      <c r="E94" s="720">
        <f>$D94+Debt!B209</f>
        <v>0</v>
      </c>
      <c r="F94" s="720">
        <f>$D94+Debt!C209</f>
        <v>0</v>
      </c>
      <c r="G94" s="720">
        <f>$D94+Debt!D209</f>
        <v>0</v>
      </c>
      <c r="H94" s="720">
        <f>$D94+Debt!E209</f>
        <v>0</v>
      </c>
      <c r="I94" s="720">
        <f>$D94+Debt!F209</f>
        <v>0</v>
      </c>
      <c r="J94" s="720">
        <f>$D94+Debt!G209</f>
        <v>0</v>
      </c>
      <c r="K94" s="720">
        <f>$D94+Debt!H209</f>
        <v>0</v>
      </c>
      <c r="L94" s="720">
        <f>$D94+Debt!I209</f>
        <v>0</v>
      </c>
      <c r="M94" s="720">
        <f>$D94+Debt!J209</f>
        <v>0</v>
      </c>
      <c r="N94" s="720">
        <f>$D94+Debt!K209</f>
        <v>0</v>
      </c>
      <c r="O94" s="721">
        <f>$D94+Debt!L209</f>
        <v>0</v>
      </c>
      <c r="P94" s="740"/>
    </row>
    <row r="95" spans="3:16" ht="15">
      <c r="C95" s="719" t="s">
        <v>172</v>
      </c>
      <c r="D95" s="707">
        <f>D114</f>
        <v>5000</v>
      </c>
      <c r="E95" s="707">
        <f>E114</f>
        <v>10000</v>
      </c>
      <c r="F95" s="707">
        <f aca="true" t="shared" si="32" ref="F95:O95">F114</f>
        <v>79300</v>
      </c>
      <c r="G95" s="707">
        <f t="shared" si="32"/>
        <v>149986</v>
      </c>
      <c r="H95" s="707">
        <f t="shared" si="32"/>
        <v>222071.86</v>
      </c>
      <c r="I95" s="707">
        <f t="shared" si="32"/>
        <v>295571.5786</v>
      </c>
      <c r="J95" s="707">
        <f t="shared" si="32"/>
        <v>370499.294386</v>
      </c>
      <c r="K95" s="707">
        <f t="shared" si="32"/>
        <v>516169.28732986003</v>
      </c>
      <c r="L95" s="707">
        <f t="shared" si="32"/>
        <v>663295.9802031587</v>
      </c>
      <c r="M95" s="707">
        <f t="shared" si="32"/>
        <v>811893.9400051902</v>
      </c>
      <c r="N95" s="707">
        <f t="shared" si="32"/>
        <v>961977.8794052422</v>
      </c>
      <c r="O95" s="722">
        <f t="shared" si="32"/>
        <v>1113562.6581992945</v>
      </c>
      <c r="P95" s="740"/>
    </row>
    <row r="96" spans="3:16" ht="15">
      <c r="C96" s="719" t="s">
        <v>171</v>
      </c>
      <c r="D96" s="707">
        <f>Customer_Other_Current_Assets</f>
        <v>5000</v>
      </c>
      <c r="E96" s="720">
        <f>D96</f>
        <v>5000</v>
      </c>
      <c r="F96" s="720">
        <f aca="true" t="shared" si="33" ref="F96:O96">E96</f>
        <v>5000</v>
      </c>
      <c r="G96" s="720">
        <f t="shared" si="33"/>
        <v>5000</v>
      </c>
      <c r="H96" s="720">
        <f t="shared" si="33"/>
        <v>5000</v>
      </c>
      <c r="I96" s="720">
        <f t="shared" si="33"/>
        <v>5000</v>
      </c>
      <c r="J96" s="720">
        <f t="shared" si="33"/>
        <v>5000</v>
      </c>
      <c r="K96" s="720">
        <f t="shared" si="33"/>
        <v>5000</v>
      </c>
      <c r="L96" s="720">
        <f t="shared" si="33"/>
        <v>5000</v>
      </c>
      <c r="M96" s="720">
        <f t="shared" si="33"/>
        <v>5000</v>
      </c>
      <c r="N96" s="720">
        <f t="shared" si="33"/>
        <v>5000</v>
      </c>
      <c r="O96" s="721">
        <f t="shared" si="33"/>
        <v>5000</v>
      </c>
      <c r="P96" s="740"/>
    </row>
    <row r="97" spans="3:16" ht="15">
      <c r="C97" s="718" t="s">
        <v>160</v>
      </c>
      <c r="D97" s="710">
        <f aca="true" t="shared" si="34" ref="D97:O97">D98+D99</f>
        <v>5000</v>
      </c>
      <c r="E97" s="710">
        <f t="shared" si="34"/>
        <v>5000</v>
      </c>
      <c r="F97" s="710">
        <f t="shared" si="34"/>
        <v>5000</v>
      </c>
      <c r="G97" s="710">
        <f t="shared" si="34"/>
        <v>5000</v>
      </c>
      <c r="H97" s="710">
        <f t="shared" si="34"/>
        <v>5000</v>
      </c>
      <c r="I97" s="710">
        <f t="shared" si="34"/>
        <v>5000</v>
      </c>
      <c r="J97" s="710">
        <f t="shared" si="34"/>
        <v>5000</v>
      </c>
      <c r="K97" s="710">
        <f t="shared" si="34"/>
        <v>5000</v>
      </c>
      <c r="L97" s="710">
        <f t="shared" si="34"/>
        <v>5000</v>
      </c>
      <c r="M97" s="710">
        <f t="shared" si="34"/>
        <v>5000</v>
      </c>
      <c r="N97" s="710">
        <f t="shared" si="34"/>
        <v>5000</v>
      </c>
      <c r="O97" s="711">
        <f t="shared" si="34"/>
        <v>5000</v>
      </c>
      <c r="P97" s="740"/>
    </row>
    <row r="98" spans="3:16" ht="15">
      <c r="C98" s="719" t="s">
        <v>154</v>
      </c>
      <c r="D98" s="707">
        <f>Customer_Long_term_Liabilities</f>
        <v>0</v>
      </c>
      <c r="E98" s="720">
        <f>$D98+Debt!B139</f>
        <v>0</v>
      </c>
      <c r="F98" s="720">
        <f>$D98+Debt!C139</f>
        <v>0</v>
      </c>
      <c r="G98" s="720">
        <f>$D98+Debt!D139</f>
        <v>0</v>
      </c>
      <c r="H98" s="720">
        <f>$D98+Debt!E139</f>
        <v>0</v>
      </c>
      <c r="I98" s="720">
        <f>$D98+Debt!F139</f>
        <v>0</v>
      </c>
      <c r="J98" s="720">
        <f>$D98+Debt!G139</f>
        <v>0</v>
      </c>
      <c r="K98" s="720">
        <f>$D98+Debt!H139</f>
        <v>0</v>
      </c>
      <c r="L98" s="720">
        <f>$D98+Debt!I139</f>
        <v>0</v>
      </c>
      <c r="M98" s="720">
        <f>$D98+Debt!J139</f>
        <v>0</v>
      </c>
      <c r="N98" s="720">
        <f>$D98+Debt!K139</f>
        <v>0</v>
      </c>
      <c r="O98" s="721">
        <f>$D98+Debt!L139</f>
        <v>0</v>
      </c>
      <c r="P98" s="740"/>
    </row>
    <row r="99" spans="3:16" ht="15">
      <c r="C99" s="719" t="s">
        <v>158</v>
      </c>
      <c r="D99" s="707">
        <f>Customer_Current_Liabilities</f>
        <v>5000</v>
      </c>
      <c r="E99" s="720">
        <f aca="true" t="shared" si="35" ref="E99:O99">$D99+E66</f>
        <v>5000</v>
      </c>
      <c r="F99" s="720">
        <f t="shared" si="35"/>
        <v>5000</v>
      </c>
      <c r="G99" s="720">
        <f t="shared" si="35"/>
        <v>5000</v>
      </c>
      <c r="H99" s="720">
        <f t="shared" si="35"/>
        <v>5000</v>
      </c>
      <c r="I99" s="720">
        <f t="shared" si="35"/>
        <v>5000</v>
      </c>
      <c r="J99" s="720">
        <f t="shared" si="35"/>
        <v>5000</v>
      </c>
      <c r="K99" s="720">
        <f t="shared" si="35"/>
        <v>5000</v>
      </c>
      <c r="L99" s="720">
        <f t="shared" si="35"/>
        <v>5000</v>
      </c>
      <c r="M99" s="720">
        <f t="shared" si="35"/>
        <v>5000</v>
      </c>
      <c r="N99" s="720">
        <f t="shared" si="35"/>
        <v>5000</v>
      </c>
      <c r="O99" s="721">
        <f t="shared" si="35"/>
        <v>5000</v>
      </c>
      <c r="P99" s="740"/>
    </row>
    <row r="100" spans="3:16" ht="15">
      <c r="C100" s="718" t="s">
        <v>161</v>
      </c>
      <c r="D100" s="710">
        <f>D93-D97</f>
        <v>5000</v>
      </c>
      <c r="E100" s="710">
        <f>E93-E97</f>
        <v>10000</v>
      </c>
      <c r="F100" s="710">
        <f aca="true" t="shared" si="36" ref="F100:O100">F93-F97</f>
        <v>79300</v>
      </c>
      <c r="G100" s="710">
        <f t="shared" si="36"/>
        <v>149986</v>
      </c>
      <c r="H100" s="710">
        <f t="shared" si="36"/>
        <v>222071.86</v>
      </c>
      <c r="I100" s="710">
        <f t="shared" si="36"/>
        <v>295571.5786</v>
      </c>
      <c r="J100" s="710">
        <f t="shared" si="36"/>
        <v>370499.294386</v>
      </c>
      <c r="K100" s="710">
        <f t="shared" si="36"/>
        <v>516169.28732986003</v>
      </c>
      <c r="L100" s="710">
        <f t="shared" si="36"/>
        <v>663295.9802031587</v>
      </c>
      <c r="M100" s="710">
        <f t="shared" si="36"/>
        <v>811893.9400051902</v>
      </c>
      <c r="N100" s="710">
        <f t="shared" si="36"/>
        <v>961977.8794052422</v>
      </c>
      <c r="O100" s="711">
        <f t="shared" si="36"/>
        <v>1113562.6581992945</v>
      </c>
      <c r="P100" s="740"/>
    </row>
    <row r="101" spans="3:16" ht="15.75" thickBot="1">
      <c r="C101" s="723" t="s">
        <v>166</v>
      </c>
      <c r="D101" s="724">
        <f aca="true" t="shared" si="37" ref="D101:O101">D97+D100</f>
        <v>10000</v>
      </c>
      <c r="E101" s="724">
        <f t="shared" si="37"/>
        <v>15000</v>
      </c>
      <c r="F101" s="724">
        <f t="shared" si="37"/>
        <v>84300</v>
      </c>
      <c r="G101" s="724">
        <f t="shared" si="37"/>
        <v>154986</v>
      </c>
      <c r="H101" s="724">
        <f t="shared" si="37"/>
        <v>227071.86</v>
      </c>
      <c r="I101" s="724">
        <f t="shared" si="37"/>
        <v>300571.5786</v>
      </c>
      <c r="J101" s="724">
        <f t="shared" si="37"/>
        <v>375499.294386</v>
      </c>
      <c r="K101" s="724">
        <f t="shared" si="37"/>
        <v>521169.28732986003</v>
      </c>
      <c r="L101" s="724">
        <f t="shared" si="37"/>
        <v>668295.9802031587</v>
      </c>
      <c r="M101" s="724">
        <f t="shared" si="37"/>
        <v>816893.9400051902</v>
      </c>
      <c r="N101" s="724">
        <f t="shared" si="37"/>
        <v>966977.8794052422</v>
      </c>
      <c r="O101" s="725">
        <f t="shared" si="37"/>
        <v>1118562.6581992945</v>
      </c>
      <c r="P101" s="740"/>
    </row>
    <row r="102" spans="3:16" ht="15.75" thickBot="1">
      <c r="C102" s="713"/>
      <c r="D102" s="714"/>
      <c r="E102" s="726"/>
      <c r="F102" s="727"/>
      <c r="G102" s="727"/>
      <c r="H102" s="727"/>
      <c r="I102" s="727"/>
      <c r="J102" s="727"/>
      <c r="K102" s="727"/>
      <c r="L102" s="727"/>
      <c r="M102" s="727"/>
      <c r="N102" s="727"/>
      <c r="O102" s="728"/>
      <c r="P102" s="740"/>
    </row>
    <row r="103" spans="3:16" ht="15">
      <c r="C103" s="703" t="s">
        <v>175</v>
      </c>
      <c r="D103" s="704"/>
      <c r="E103" s="720"/>
      <c r="F103" s="729"/>
      <c r="G103" s="729"/>
      <c r="H103" s="729"/>
      <c r="I103" s="729"/>
      <c r="J103" s="729"/>
      <c r="K103" s="729"/>
      <c r="L103" s="729"/>
      <c r="M103" s="729"/>
      <c r="N103" s="729"/>
      <c r="O103" s="730"/>
      <c r="P103" s="740"/>
    </row>
    <row r="104" spans="3:16" ht="15">
      <c r="C104" s="731" t="s">
        <v>167</v>
      </c>
      <c r="D104" s="710">
        <f>D105+D106+D107</f>
        <v>0</v>
      </c>
      <c r="E104" s="710">
        <f>E105+E106+E107</f>
        <v>5000</v>
      </c>
      <c r="F104" s="710">
        <f aca="true" t="shared" si="38" ref="F104:O104">F105+F106+F107</f>
        <v>69300</v>
      </c>
      <c r="G104" s="710">
        <f t="shared" si="38"/>
        <v>70686</v>
      </c>
      <c r="H104" s="710">
        <f t="shared" si="38"/>
        <v>72085.86</v>
      </c>
      <c r="I104" s="710">
        <f t="shared" si="38"/>
        <v>73499.71860000002</v>
      </c>
      <c r="J104" s="710">
        <f t="shared" si="38"/>
        <v>74927.715786</v>
      </c>
      <c r="K104" s="710">
        <f t="shared" si="38"/>
        <v>145669.99294386</v>
      </c>
      <c r="L104" s="710">
        <f t="shared" si="38"/>
        <v>147126.6928732986</v>
      </c>
      <c r="M104" s="710">
        <f t="shared" si="38"/>
        <v>148597.95980203158</v>
      </c>
      <c r="N104" s="710">
        <f t="shared" si="38"/>
        <v>150083.9394000519</v>
      </c>
      <c r="O104" s="711">
        <f t="shared" si="38"/>
        <v>151584.77879405243</v>
      </c>
      <c r="P104" s="741"/>
    </row>
    <row r="105" spans="3:16" ht="15">
      <c r="C105" s="732" t="s">
        <v>168</v>
      </c>
      <c r="D105" s="707">
        <f>D90</f>
        <v>0</v>
      </c>
      <c r="E105" s="707">
        <f>E90</f>
        <v>5000</v>
      </c>
      <c r="F105" s="707">
        <f aca="true" t="shared" si="39" ref="F105:O105">F90</f>
        <v>69300</v>
      </c>
      <c r="G105" s="707">
        <f t="shared" si="39"/>
        <v>70686</v>
      </c>
      <c r="H105" s="707">
        <f t="shared" si="39"/>
        <v>72085.86</v>
      </c>
      <c r="I105" s="707">
        <f t="shared" si="39"/>
        <v>73499.71860000002</v>
      </c>
      <c r="J105" s="707">
        <f t="shared" si="39"/>
        <v>74927.715786</v>
      </c>
      <c r="K105" s="707">
        <f t="shared" si="39"/>
        <v>145669.99294386</v>
      </c>
      <c r="L105" s="707">
        <f t="shared" si="39"/>
        <v>147126.6928732986</v>
      </c>
      <c r="M105" s="707">
        <f t="shared" si="39"/>
        <v>148597.95980203158</v>
      </c>
      <c r="N105" s="707">
        <f t="shared" si="39"/>
        <v>150083.9394000519</v>
      </c>
      <c r="O105" s="722">
        <f t="shared" si="39"/>
        <v>151584.77879405243</v>
      </c>
      <c r="P105" s="741"/>
    </row>
    <row r="106" spans="3:16" ht="15">
      <c r="C106" s="732" t="s">
        <v>252</v>
      </c>
      <c r="D106" s="707">
        <f aca="true" t="shared" si="40" ref="D106:O106">D84</f>
        <v>0</v>
      </c>
      <c r="E106" s="707">
        <f t="shared" si="40"/>
        <v>0</v>
      </c>
      <c r="F106" s="707">
        <f t="shared" si="40"/>
        <v>0</v>
      </c>
      <c r="G106" s="707">
        <f t="shared" si="40"/>
        <v>0</v>
      </c>
      <c r="H106" s="707">
        <f t="shared" si="40"/>
        <v>0</v>
      </c>
      <c r="I106" s="707">
        <f t="shared" si="40"/>
        <v>0</v>
      </c>
      <c r="J106" s="707">
        <f t="shared" si="40"/>
        <v>0</v>
      </c>
      <c r="K106" s="707">
        <f t="shared" si="40"/>
        <v>0</v>
      </c>
      <c r="L106" s="707">
        <f t="shared" si="40"/>
        <v>0</v>
      </c>
      <c r="M106" s="707">
        <f t="shared" si="40"/>
        <v>0</v>
      </c>
      <c r="N106" s="707">
        <f t="shared" si="40"/>
        <v>0</v>
      </c>
      <c r="O106" s="722">
        <f t="shared" si="40"/>
        <v>0</v>
      </c>
      <c r="P106" s="741"/>
    </row>
    <row r="107" spans="3:16" ht="15">
      <c r="C107" s="732" t="s">
        <v>38</v>
      </c>
      <c r="D107" s="707">
        <f>Customer_Other_Operating_Activities</f>
        <v>0</v>
      </c>
      <c r="E107" s="707">
        <f>$D107</f>
        <v>0</v>
      </c>
      <c r="F107" s="707">
        <f aca="true" t="shared" si="41" ref="F107:O107">$D107</f>
        <v>0</v>
      </c>
      <c r="G107" s="707">
        <f t="shared" si="41"/>
        <v>0</v>
      </c>
      <c r="H107" s="707">
        <f t="shared" si="41"/>
        <v>0</v>
      </c>
      <c r="I107" s="707">
        <f t="shared" si="41"/>
        <v>0</v>
      </c>
      <c r="J107" s="707">
        <f t="shared" si="41"/>
        <v>0</v>
      </c>
      <c r="K107" s="707">
        <f t="shared" si="41"/>
        <v>0</v>
      </c>
      <c r="L107" s="707">
        <f t="shared" si="41"/>
        <v>0</v>
      </c>
      <c r="M107" s="707">
        <f t="shared" si="41"/>
        <v>0</v>
      </c>
      <c r="N107" s="707">
        <f t="shared" si="41"/>
        <v>0</v>
      </c>
      <c r="O107" s="722">
        <f t="shared" si="41"/>
        <v>0</v>
      </c>
      <c r="P107" s="741"/>
    </row>
    <row r="108" spans="3:16" ht="15">
      <c r="C108" s="731" t="s">
        <v>169</v>
      </c>
      <c r="D108" s="707">
        <f>Customer_Total_Investing_Activities</f>
        <v>0</v>
      </c>
      <c r="E108" s="707">
        <f aca="true" t="shared" si="42" ref="E108:O108">E64</f>
        <v>0</v>
      </c>
      <c r="F108" s="707">
        <f t="shared" si="42"/>
        <v>0</v>
      </c>
      <c r="G108" s="707">
        <f t="shared" si="42"/>
        <v>0</v>
      </c>
      <c r="H108" s="707">
        <f t="shared" si="42"/>
        <v>0</v>
      </c>
      <c r="I108" s="707">
        <f t="shared" si="42"/>
        <v>0</v>
      </c>
      <c r="J108" s="707">
        <f t="shared" si="42"/>
        <v>0</v>
      </c>
      <c r="K108" s="707">
        <f t="shared" si="42"/>
        <v>0</v>
      </c>
      <c r="L108" s="707">
        <f t="shared" si="42"/>
        <v>0</v>
      </c>
      <c r="M108" s="707">
        <f t="shared" si="42"/>
        <v>0</v>
      </c>
      <c r="N108" s="707">
        <f t="shared" si="42"/>
        <v>0</v>
      </c>
      <c r="O108" s="722">
        <f t="shared" si="42"/>
        <v>0</v>
      </c>
      <c r="P108" s="741"/>
    </row>
    <row r="109" spans="3:16" ht="15">
      <c r="C109" s="731" t="s">
        <v>170</v>
      </c>
      <c r="D109" s="710">
        <f>D110+D111</f>
        <v>5000</v>
      </c>
      <c r="E109" s="710">
        <f aca="true" t="shared" si="43" ref="E109:O109">E110+E111</f>
        <v>0</v>
      </c>
      <c r="F109" s="710">
        <f t="shared" si="43"/>
        <v>0</v>
      </c>
      <c r="G109" s="710">
        <f t="shared" si="43"/>
        <v>0</v>
      </c>
      <c r="H109" s="710">
        <f t="shared" si="43"/>
        <v>0</v>
      </c>
      <c r="I109" s="710">
        <f t="shared" si="43"/>
        <v>0</v>
      </c>
      <c r="J109" s="710">
        <f t="shared" si="43"/>
        <v>0</v>
      </c>
      <c r="K109" s="710">
        <f t="shared" si="43"/>
        <v>0</v>
      </c>
      <c r="L109" s="710">
        <f t="shared" si="43"/>
        <v>0</v>
      </c>
      <c r="M109" s="710">
        <f t="shared" si="43"/>
        <v>0</v>
      </c>
      <c r="N109" s="710">
        <f t="shared" si="43"/>
        <v>0</v>
      </c>
      <c r="O109" s="711">
        <f t="shared" si="43"/>
        <v>0</v>
      </c>
      <c r="P109" s="742"/>
    </row>
    <row r="110" spans="3:16" ht="15">
      <c r="C110" s="733" t="s">
        <v>173</v>
      </c>
      <c r="D110" s="707">
        <f>Customer_Cash_Provided_by_increases_in_debt</f>
        <v>5000</v>
      </c>
      <c r="E110" s="734">
        <f>E66+E67</f>
        <v>0</v>
      </c>
      <c r="F110" s="734">
        <f aca="true" t="shared" si="44" ref="F110:O110">F66+F67</f>
        <v>0</v>
      </c>
      <c r="G110" s="734">
        <f t="shared" si="44"/>
        <v>0</v>
      </c>
      <c r="H110" s="734">
        <f t="shared" si="44"/>
        <v>0</v>
      </c>
      <c r="I110" s="734">
        <f t="shared" si="44"/>
        <v>0</v>
      </c>
      <c r="J110" s="734">
        <f t="shared" si="44"/>
        <v>0</v>
      </c>
      <c r="K110" s="734">
        <f t="shared" si="44"/>
        <v>0</v>
      </c>
      <c r="L110" s="734">
        <f t="shared" si="44"/>
        <v>0</v>
      </c>
      <c r="M110" s="734">
        <f t="shared" si="44"/>
        <v>0</v>
      </c>
      <c r="N110" s="734">
        <f t="shared" si="44"/>
        <v>0</v>
      </c>
      <c r="O110" s="735">
        <f t="shared" si="44"/>
        <v>0</v>
      </c>
      <c r="P110" s="742"/>
    </row>
    <row r="111" spans="3:16" ht="15">
      <c r="C111" s="733" t="s">
        <v>99</v>
      </c>
      <c r="D111" s="707">
        <f>Customer_Debt_Payments</f>
        <v>0</v>
      </c>
      <c r="E111" s="734">
        <f aca="true" t="shared" si="45" ref="E111:O111">$D111+E68+E69</f>
        <v>0</v>
      </c>
      <c r="F111" s="734">
        <f t="shared" si="45"/>
        <v>0</v>
      </c>
      <c r="G111" s="734">
        <f t="shared" si="45"/>
        <v>0</v>
      </c>
      <c r="H111" s="734">
        <f t="shared" si="45"/>
        <v>0</v>
      </c>
      <c r="I111" s="734">
        <f t="shared" si="45"/>
        <v>0</v>
      </c>
      <c r="J111" s="734">
        <f t="shared" si="45"/>
        <v>0</v>
      </c>
      <c r="K111" s="734">
        <f t="shared" si="45"/>
        <v>0</v>
      </c>
      <c r="L111" s="734">
        <f t="shared" si="45"/>
        <v>0</v>
      </c>
      <c r="M111" s="734">
        <f t="shared" si="45"/>
        <v>0</v>
      </c>
      <c r="N111" s="734">
        <f t="shared" si="45"/>
        <v>0</v>
      </c>
      <c r="O111" s="735">
        <f t="shared" si="45"/>
        <v>0</v>
      </c>
      <c r="P111" s="742"/>
    </row>
    <row r="112" spans="3:16" ht="15">
      <c r="C112" s="718" t="s">
        <v>147</v>
      </c>
      <c r="D112" s="710">
        <f>D104+D108+D109</f>
        <v>5000</v>
      </c>
      <c r="E112" s="710">
        <f>E104+E108+E109</f>
        <v>5000</v>
      </c>
      <c r="F112" s="710">
        <f aca="true" t="shared" si="46" ref="F112:O112">F104+F108+F109</f>
        <v>69300</v>
      </c>
      <c r="G112" s="710">
        <f t="shared" si="46"/>
        <v>70686</v>
      </c>
      <c r="H112" s="710">
        <f t="shared" si="46"/>
        <v>72085.86</v>
      </c>
      <c r="I112" s="710">
        <f t="shared" si="46"/>
        <v>73499.71860000002</v>
      </c>
      <c r="J112" s="710">
        <f t="shared" si="46"/>
        <v>74927.715786</v>
      </c>
      <c r="K112" s="710">
        <f t="shared" si="46"/>
        <v>145669.99294386</v>
      </c>
      <c r="L112" s="710">
        <f t="shared" si="46"/>
        <v>147126.6928732986</v>
      </c>
      <c r="M112" s="710">
        <f t="shared" si="46"/>
        <v>148597.95980203158</v>
      </c>
      <c r="N112" s="710">
        <f t="shared" si="46"/>
        <v>150083.9394000519</v>
      </c>
      <c r="O112" s="711">
        <f t="shared" si="46"/>
        <v>151584.77879405243</v>
      </c>
      <c r="P112" s="742"/>
    </row>
    <row r="113" spans="3:16" ht="15">
      <c r="C113" s="736" t="s">
        <v>174</v>
      </c>
      <c r="D113" s="707">
        <f>Customer_Cash_from_previous_years</f>
        <v>0</v>
      </c>
      <c r="E113" s="734">
        <f aca="true" t="shared" si="47" ref="E113:O113">D114</f>
        <v>5000</v>
      </c>
      <c r="F113" s="734">
        <f t="shared" si="47"/>
        <v>10000</v>
      </c>
      <c r="G113" s="734">
        <f t="shared" si="47"/>
        <v>79300</v>
      </c>
      <c r="H113" s="734">
        <f t="shared" si="47"/>
        <v>149986</v>
      </c>
      <c r="I113" s="734">
        <f t="shared" si="47"/>
        <v>222071.86</v>
      </c>
      <c r="J113" s="734">
        <f t="shared" si="47"/>
        <v>295571.5786</v>
      </c>
      <c r="K113" s="734">
        <f t="shared" si="47"/>
        <v>370499.294386</v>
      </c>
      <c r="L113" s="734">
        <f t="shared" si="47"/>
        <v>516169.28732986003</v>
      </c>
      <c r="M113" s="734">
        <f t="shared" si="47"/>
        <v>663295.9802031587</v>
      </c>
      <c r="N113" s="734">
        <f t="shared" si="47"/>
        <v>811893.9400051902</v>
      </c>
      <c r="O113" s="735">
        <f t="shared" si="47"/>
        <v>961977.8794052422</v>
      </c>
      <c r="P113" s="742"/>
    </row>
    <row r="114" spans="3:16" ht="15.75" thickBot="1">
      <c r="C114" s="737" t="s">
        <v>202</v>
      </c>
      <c r="D114" s="738">
        <f aca="true" t="shared" si="48" ref="D114:O114">D112+D113</f>
        <v>5000</v>
      </c>
      <c r="E114" s="738">
        <f t="shared" si="48"/>
        <v>10000</v>
      </c>
      <c r="F114" s="738">
        <f t="shared" si="48"/>
        <v>79300</v>
      </c>
      <c r="G114" s="738">
        <f t="shared" si="48"/>
        <v>149986</v>
      </c>
      <c r="H114" s="738">
        <f t="shared" si="48"/>
        <v>222071.86</v>
      </c>
      <c r="I114" s="738">
        <f t="shared" si="48"/>
        <v>295571.5786</v>
      </c>
      <c r="J114" s="738">
        <f t="shared" si="48"/>
        <v>370499.294386</v>
      </c>
      <c r="K114" s="738">
        <f t="shared" si="48"/>
        <v>516169.28732986003</v>
      </c>
      <c r="L114" s="738">
        <f t="shared" si="48"/>
        <v>663295.9802031587</v>
      </c>
      <c r="M114" s="738">
        <f t="shared" si="48"/>
        <v>811893.9400051902</v>
      </c>
      <c r="N114" s="738">
        <f t="shared" si="48"/>
        <v>961977.8794052422</v>
      </c>
      <c r="O114" s="739">
        <f t="shared" si="48"/>
        <v>1113562.6581992945</v>
      </c>
      <c r="P114" s="742"/>
    </row>
  </sheetData>
  <sheetProtection password="D997" sheet="1" objects="1" scenarios="1"/>
  <mergeCells count="4">
    <mergeCell ref="C79:C80"/>
    <mergeCell ref="B25:B32"/>
    <mergeCell ref="B23:O23"/>
    <mergeCell ref="G3:K3"/>
  </mergeCells>
  <printOptions/>
  <pageMargins left="0.75" right="0.75" top="1" bottom="1" header="0.5" footer="0.5"/>
  <pageSetup fitToHeight="0" fitToWidth="1" horizontalDpi="600" verticalDpi="600" orientation="landscape" paperSize="17" scale="46" r:id="rId4"/>
  <rowBreaks count="2" manualBreakCount="2">
    <brk id="33" max="255" man="1"/>
    <brk id="77"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Sheet6"/>
  <dimension ref="B2:O61"/>
  <sheetViews>
    <sheetView view="pageBreakPreview" zoomScale="65" zoomScaleNormal="65" zoomScaleSheetLayoutView="65" workbookViewId="0" topLeftCell="A1">
      <selection activeCell="A1" sqref="A1"/>
    </sheetView>
  </sheetViews>
  <sheetFormatPr defaultColWidth="9.140625" defaultRowHeight="15"/>
  <cols>
    <col min="1" max="1" width="4.57421875" style="0" customWidth="1"/>
    <col min="3" max="3" width="45.28125" style="0" customWidth="1"/>
    <col min="4" max="4" width="14.00390625" style="0" customWidth="1"/>
    <col min="5" max="5" width="15.00390625" style="0" customWidth="1"/>
    <col min="6" max="6" width="14.00390625" style="0" bestFit="1" customWidth="1"/>
    <col min="7" max="7" width="13.7109375" style="0" customWidth="1"/>
    <col min="8" max="15" width="14.00390625" style="0" bestFit="1" customWidth="1"/>
  </cols>
  <sheetData>
    <row r="1" ht="15.75" thickBot="1"/>
    <row r="2" spans="3:5" ht="15.75" thickBot="1">
      <c r="C2" s="1084" t="s">
        <v>394</v>
      </c>
      <c r="D2" s="1085"/>
      <c r="E2" s="1028"/>
    </row>
    <row r="3" spans="3:5" ht="15.75" thickBot="1">
      <c r="C3" s="968" t="s">
        <v>328</v>
      </c>
      <c r="D3" s="969">
        <f>' Summary'!C65</f>
        <v>105000</v>
      </c>
      <c r="E3" s="1029"/>
    </row>
    <row r="4" spans="3:11" ht="15.75" thickTop="1">
      <c r="C4" s="970" t="s">
        <v>329</v>
      </c>
      <c r="D4" s="971">
        <f>' Summary'!C66</f>
        <v>3.948997142857143</v>
      </c>
      <c r="E4" s="1030"/>
      <c r="G4" s="1073" t="s">
        <v>403</v>
      </c>
      <c r="H4" s="1074"/>
      <c r="I4" s="1074"/>
      <c r="J4" s="1074"/>
      <c r="K4" s="1075"/>
    </row>
    <row r="5" spans="3:11" ht="15" customHeight="1">
      <c r="C5" s="970" t="s">
        <v>330</v>
      </c>
      <c r="D5" s="971">
        <f>' Summary'!C67</f>
        <v>4.371211138326358</v>
      </c>
      <c r="E5" s="1030"/>
      <c r="G5" s="1034"/>
      <c r="H5" s="1035" t="s">
        <v>313</v>
      </c>
      <c r="I5" s="2"/>
      <c r="J5" s="2"/>
      <c r="K5" s="1036"/>
    </row>
    <row r="6" spans="3:11" ht="15">
      <c r="C6" s="970" t="s">
        <v>331</v>
      </c>
      <c r="D6" s="969">
        <f>' Summary'!C68</f>
        <v>61304.29800000001</v>
      </c>
      <c r="E6" s="1030"/>
      <c r="G6" s="1037"/>
      <c r="H6" s="1035" t="s">
        <v>401</v>
      </c>
      <c r="I6" s="2"/>
      <c r="J6" s="2"/>
      <c r="K6" s="1036"/>
    </row>
    <row r="7" spans="3:11" ht="15">
      <c r="C7" s="970" t="s">
        <v>332</v>
      </c>
      <c r="D7" s="993">
        <f>' Summary'!C69</f>
        <v>0.04631732989134446</v>
      </c>
      <c r="E7" s="1030"/>
      <c r="G7" s="1038"/>
      <c r="H7" s="1035" t="s">
        <v>312</v>
      </c>
      <c r="I7" s="2"/>
      <c r="J7" s="2"/>
      <c r="K7" s="1036"/>
    </row>
    <row r="8" spans="3:11" ht="15.75" thickBot="1">
      <c r="C8" s="970" t="s">
        <v>326</v>
      </c>
      <c r="D8" s="972">
        <f>' Summary'!C70</f>
        <v>0</v>
      </c>
      <c r="E8" s="1030"/>
      <c r="G8" s="1039"/>
      <c r="H8" s="1040" t="s">
        <v>311</v>
      </c>
      <c r="I8" s="1041"/>
      <c r="J8" s="1041"/>
      <c r="K8" s="1042"/>
    </row>
    <row r="9" spans="3:5" ht="15.75" thickTop="1">
      <c r="C9" s="973" t="s">
        <v>17</v>
      </c>
      <c r="D9" s="969">
        <f>' Summary'!C71</f>
        <v>61304.29800000001</v>
      </c>
      <c r="E9" s="1030"/>
    </row>
    <row r="10" spans="3:5" ht="15">
      <c r="C10" s="974" t="s">
        <v>19</v>
      </c>
      <c r="D10" s="972">
        <f>' Summary'!C72</f>
        <v>41447</v>
      </c>
      <c r="E10" s="1030"/>
    </row>
    <row r="11" spans="3:5" ht="15">
      <c r="C11" s="970"/>
      <c r="D11" s="975"/>
      <c r="E11" s="1030"/>
    </row>
    <row r="12" spans="3:5" ht="15">
      <c r="C12" s="973" t="s">
        <v>334</v>
      </c>
      <c r="D12" s="969">
        <f>' Summary'!C74</f>
        <v>475948.998</v>
      </c>
      <c r="E12" s="1030"/>
    </row>
    <row r="13" spans="3:5" ht="15.75" thickBot="1">
      <c r="C13" s="976" t="s">
        <v>21</v>
      </c>
      <c r="D13" s="977">
        <f>' Summary'!C75</f>
        <v>455917.00000000006</v>
      </c>
      <c r="E13" s="1030"/>
    </row>
    <row r="14" spans="3:5" ht="15.75" thickBot="1">
      <c r="C14" s="1082" t="s">
        <v>395</v>
      </c>
      <c r="D14" s="1083"/>
      <c r="E14" s="1030"/>
    </row>
    <row r="15" spans="3:5" ht="15">
      <c r="C15" s="607" t="s">
        <v>182</v>
      </c>
      <c r="D15" s="978">
        <f>' Summary'!F65</f>
        <v>210000</v>
      </c>
      <c r="E15" s="1030"/>
    </row>
    <row r="16" spans="3:5" ht="15">
      <c r="C16" s="757" t="s">
        <v>181</v>
      </c>
      <c r="D16" s="978">
        <f>' Summary'!F66</f>
        <v>105000</v>
      </c>
      <c r="E16" s="1030"/>
    </row>
    <row r="17" spans="3:5" ht="15">
      <c r="C17" s="757" t="s">
        <v>37</v>
      </c>
      <c r="D17" s="978">
        <f>' Summary'!F67</f>
        <v>0</v>
      </c>
      <c r="E17" s="1030"/>
    </row>
    <row r="18" spans="3:5" ht="15">
      <c r="C18" s="757" t="s">
        <v>273</v>
      </c>
      <c r="D18" s="978">
        <f>' Summary'!F68</f>
        <v>0</v>
      </c>
      <c r="E18" s="1030"/>
    </row>
    <row r="19" spans="3:5" ht="15">
      <c r="C19" s="609" t="s">
        <v>221</v>
      </c>
      <c r="D19" s="978">
        <f>' Summary'!F69</f>
        <v>1108562.6581992945</v>
      </c>
      <c r="E19" s="1030"/>
    </row>
    <row r="20" spans="3:7" ht="15">
      <c r="C20" s="609" t="s">
        <v>39</v>
      </c>
      <c r="D20" s="979">
        <f>' Summary'!F70</f>
        <v>5</v>
      </c>
      <c r="E20" s="1031"/>
      <c r="G20" s="104"/>
    </row>
    <row r="21" spans="3:5" ht="15">
      <c r="C21" s="609" t="s">
        <v>41</v>
      </c>
      <c r="D21" s="978">
        <f>' Summary'!F71</f>
        <v>455917</v>
      </c>
      <c r="E21" s="1030"/>
    </row>
    <row r="22" spans="3:4" ht="15.75" thickBot="1">
      <c r="C22" s="612" t="s">
        <v>43</v>
      </c>
      <c r="D22" s="614">
        <f>' Summary'!F72</f>
        <v>-0.9999994098102403</v>
      </c>
    </row>
    <row r="23" spans="3:4" ht="15.75" thickBot="1">
      <c r="C23" s="100"/>
      <c r="D23" s="1033"/>
    </row>
    <row r="24" spans="2:15" ht="15.75">
      <c r="B24" s="1111" t="s">
        <v>267</v>
      </c>
      <c r="C24" s="1125"/>
      <c r="D24" s="1125"/>
      <c r="E24" s="1125"/>
      <c r="F24" s="1125"/>
      <c r="G24" s="1125"/>
      <c r="H24" s="1125"/>
      <c r="I24" s="1125"/>
      <c r="J24" s="1125"/>
      <c r="K24" s="1125"/>
      <c r="L24" s="1125"/>
      <c r="M24" s="1125"/>
      <c r="N24" s="1125"/>
      <c r="O24" s="1126"/>
    </row>
    <row r="25" spans="2:15" ht="15.75" thickBot="1">
      <c r="B25" s="99"/>
      <c r="C25" s="2"/>
      <c r="D25" s="615" t="s">
        <v>248</v>
      </c>
      <c r="E25" s="615" t="s">
        <v>95</v>
      </c>
      <c r="F25" s="615" t="s">
        <v>254</v>
      </c>
      <c r="G25" s="615" t="s">
        <v>255</v>
      </c>
      <c r="H25" s="615" t="s">
        <v>256</v>
      </c>
      <c r="I25" s="615" t="s">
        <v>257</v>
      </c>
      <c r="J25" s="615" t="s">
        <v>258</v>
      </c>
      <c r="K25" s="615" t="s">
        <v>259</v>
      </c>
      <c r="L25" s="615" t="s">
        <v>260</v>
      </c>
      <c r="M25" s="615" t="s">
        <v>261</v>
      </c>
      <c r="N25" s="615" t="s">
        <v>262</v>
      </c>
      <c r="O25" s="616" t="s">
        <v>263</v>
      </c>
    </row>
    <row r="26" spans="2:15" ht="15">
      <c r="B26" s="1120" t="s">
        <v>402</v>
      </c>
      <c r="C26" s="617" t="s">
        <v>253</v>
      </c>
      <c r="D26" s="1022">
        <f>'Customer Output'!D25</f>
        <v>2</v>
      </c>
      <c r="E26" s="1022">
        <f>'Customer Output'!E25</f>
        <v>3</v>
      </c>
      <c r="F26" s="1022">
        <f>'Customer Output'!F25</f>
        <v>16.86</v>
      </c>
      <c r="G26" s="1022">
        <f>'Customer Output'!G25</f>
        <v>30.9972</v>
      </c>
      <c r="H26" s="1022">
        <f>'Customer Output'!H25</f>
        <v>45.414372</v>
      </c>
      <c r="I26" s="1022">
        <f>'Customer Output'!I25</f>
        <v>60.11431572</v>
      </c>
      <c r="J26" s="1022">
        <f>'Customer Output'!J25</f>
        <v>75.0998588772</v>
      </c>
      <c r="K26" s="1022">
        <f>'Customer Output'!K25</f>
        <v>104.23385746597201</v>
      </c>
      <c r="L26" s="1022">
        <f>'Customer Output'!L25</f>
        <v>133.65919604063174</v>
      </c>
      <c r="M26" s="1022">
        <f>'Customer Output'!M25</f>
        <v>163.37878800103803</v>
      </c>
      <c r="N26" s="1022">
        <f>'Customer Output'!N25</f>
        <v>193.39557588104844</v>
      </c>
      <c r="O26" s="1023">
        <f>'Customer Output'!O25</f>
        <v>223.7125316398589</v>
      </c>
    </row>
    <row r="27" spans="2:15" ht="15">
      <c r="B27" s="1121"/>
      <c r="C27" s="620" t="s">
        <v>265</v>
      </c>
      <c r="D27" s="1022">
        <f>'Customer Output'!D26</f>
        <v>0.5</v>
      </c>
      <c r="E27" s="1022">
        <f>'Customer Output'!E26</f>
        <v>0.3333333333333333</v>
      </c>
      <c r="F27" s="1022">
        <f>'Customer Output'!F26</f>
        <v>0.05931198102016608</v>
      </c>
      <c r="G27" s="1022">
        <f>'Customer Output'!G26</f>
        <v>0.032260978410953246</v>
      </c>
      <c r="H27" s="1022">
        <f>'Customer Output'!H26</f>
        <v>0.022019461152077587</v>
      </c>
      <c r="I27" s="1022">
        <f>'Customer Output'!I26</f>
        <v>0.016634972685338253</v>
      </c>
      <c r="J27" s="1022">
        <f>'Customer Output'!J26</f>
        <v>0.013315604249472108</v>
      </c>
      <c r="K27" s="1022">
        <f>'Customer Output'!K26</f>
        <v>0.009593811687593526</v>
      </c>
      <c r="L27" s="1022">
        <f>'Customer Output'!L26</f>
        <v>0.007481714910929174</v>
      </c>
      <c r="M27" s="1022">
        <f>'Customer Output'!M26</f>
        <v>0.006120745613522646</v>
      </c>
      <c r="N27" s="1022">
        <f>'Customer Output'!N26</f>
        <v>0.005170749100357232</v>
      </c>
      <c r="O27" s="1023">
        <f>'Customer Output'!O26</f>
        <v>0.004470022276668161</v>
      </c>
    </row>
    <row r="28" spans="2:15" ht="15">
      <c r="B28" s="1121"/>
      <c r="C28" s="620" t="s">
        <v>157</v>
      </c>
      <c r="D28" s="1022">
        <f>'Customer Output'!D27</f>
        <v>1</v>
      </c>
      <c r="E28" s="1022">
        <f>'Customer Output'!E27</f>
        <v>0.5</v>
      </c>
      <c r="F28" s="1022">
        <f>'Customer Output'!F27</f>
        <v>0.06305170239596469</v>
      </c>
      <c r="G28" s="1022">
        <f>'Customer Output'!G27</f>
        <v>0.033336444734841916</v>
      </c>
      <c r="H28" s="1022">
        <f>'Customer Output'!H27</f>
        <v>0.022515234483108305</v>
      </c>
      <c r="I28" s="1022">
        <f>'Customer Output'!I27</f>
        <v>0.016916376140368186</v>
      </c>
      <c r="J28" s="1022">
        <f>'Customer Output'!J27</f>
        <v>0.013495302354856345</v>
      </c>
      <c r="K28" s="1022">
        <f>'Customer Output'!K27</f>
        <v>0.009686744490097354</v>
      </c>
      <c r="L28" s="1022">
        <f>'Customer Output'!L27</f>
        <v>0.007538112922783833</v>
      </c>
      <c r="M28" s="1022">
        <f>'Customer Output'!M27</f>
        <v>0.006158439857265145</v>
      </c>
      <c r="N28" s="1022">
        <f>'Customer Output'!N27</f>
        <v>0.005197624713669433</v>
      </c>
      <c r="O28" s="1023">
        <f>'Customer Output'!O27</f>
        <v>0.004490093092817368</v>
      </c>
    </row>
    <row r="29" spans="2:15" ht="15">
      <c r="B29" s="1121"/>
      <c r="C29" s="620" t="s">
        <v>153</v>
      </c>
      <c r="D29" s="1022" t="e">
        <f>'Customer Output'!D28</f>
        <v>#DIV/0!</v>
      </c>
      <c r="E29" s="1022" t="e">
        <f>'Customer Output'!E28</f>
        <v>#DIV/0!</v>
      </c>
      <c r="F29" s="1022" t="e">
        <f>'Customer Output'!F28</f>
        <v>#DIV/0!</v>
      </c>
      <c r="G29" s="1022" t="e">
        <f>'Customer Output'!G28</f>
        <v>#DIV/0!</v>
      </c>
      <c r="H29" s="1022" t="e">
        <f>'Customer Output'!H28</f>
        <v>#DIV/0!</v>
      </c>
      <c r="I29" s="1022" t="e">
        <f>'Customer Output'!I28</f>
        <v>#DIV/0!</v>
      </c>
      <c r="J29" s="1022" t="e">
        <f>'Customer Output'!J28</f>
        <v>#DIV/0!</v>
      </c>
      <c r="K29" s="1022" t="e">
        <f>'Customer Output'!K28</f>
        <v>#DIV/0!</v>
      </c>
      <c r="L29" s="1022" t="e">
        <f>'Customer Output'!L28</f>
        <v>#DIV/0!</v>
      </c>
      <c r="M29" s="1022" t="e">
        <f>'Customer Output'!M28</f>
        <v>#DIV/0!</v>
      </c>
      <c r="N29" s="1022" t="e">
        <f>'Customer Output'!N28</f>
        <v>#DIV/0!</v>
      </c>
      <c r="O29" s="1023" t="e">
        <f>'Customer Output'!O28</f>
        <v>#DIV/0!</v>
      </c>
    </row>
    <row r="30" spans="2:15" ht="15">
      <c r="B30" s="1121"/>
      <c r="C30" s="620" t="s">
        <v>176</v>
      </c>
      <c r="D30" s="1022" t="e">
        <f>'Customer Output'!D29</f>
        <v>#DIV/0!</v>
      </c>
      <c r="E30" s="1022">
        <f>'Customer Output'!E29</f>
        <v>1</v>
      </c>
      <c r="F30" s="1022">
        <f>'Customer Output'!F29</f>
        <v>0.5</v>
      </c>
      <c r="G30" s="1022">
        <f>'Customer Output'!G29</f>
        <v>0.504950495049505</v>
      </c>
      <c r="H30" s="1022">
        <f>'Customer Output'!H29</f>
        <v>0.5098519752965396</v>
      </c>
      <c r="I30" s="1022">
        <f>'Customer Output'!I29</f>
        <v>0.5147049260361778</v>
      </c>
      <c r="J30" s="1022">
        <f>'Customer Output'!J29</f>
        <v>0.5195098277585919</v>
      </c>
      <c r="K30" s="1022">
        <f>'Customer Output'!K29</f>
        <v>1</v>
      </c>
      <c r="L30" s="1022">
        <f>'Customer Output'!L29</f>
        <v>1</v>
      </c>
      <c r="M30" s="1022">
        <f>'Customer Output'!M29</f>
        <v>1</v>
      </c>
      <c r="N30" s="1022">
        <f>'Customer Output'!N29</f>
        <v>1</v>
      </c>
      <c r="O30" s="1023">
        <f>'Customer Output'!O29</f>
        <v>1</v>
      </c>
    </row>
    <row r="31" spans="2:15" ht="15">
      <c r="B31" s="1121"/>
      <c r="C31" s="620" t="s">
        <v>162</v>
      </c>
      <c r="D31" s="1022" t="e">
        <f>'Customer Output'!D30</f>
        <v>#DIV/0!</v>
      </c>
      <c r="E31" s="1022">
        <f>'Customer Output'!E30</f>
        <v>1</v>
      </c>
      <c r="F31" s="1022">
        <f>'Customer Output'!F30</f>
        <v>0.33</v>
      </c>
      <c r="G31" s="1022">
        <f>'Customer Output'!G30</f>
        <v>0.3332673267326733</v>
      </c>
      <c r="H31" s="1022">
        <f>'Customer Output'!H30</f>
        <v>0.3365023036957161</v>
      </c>
      <c r="I31" s="1022">
        <f>'Customer Output'!I30</f>
        <v>0.3397052511838774</v>
      </c>
      <c r="J31" s="1022">
        <f>'Customer Output'!J30</f>
        <v>0.34287648632067064</v>
      </c>
      <c r="K31" s="1022">
        <f>'Customer Output'!K30</f>
        <v>0.6599999999999999</v>
      </c>
      <c r="L31" s="1022">
        <f>'Customer Output'!L30</f>
        <v>0.6599999999999999</v>
      </c>
      <c r="M31" s="1022">
        <f>'Customer Output'!M30</f>
        <v>0.6599999999999999</v>
      </c>
      <c r="N31" s="1022">
        <f>'Customer Output'!N30</f>
        <v>0.6599999999999999</v>
      </c>
      <c r="O31" s="1023">
        <f>'Customer Output'!O30</f>
        <v>0.6599999999999999</v>
      </c>
    </row>
    <row r="32" spans="2:15" ht="15">
      <c r="B32" s="1121"/>
      <c r="C32" s="620" t="s">
        <v>266</v>
      </c>
      <c r="D32" s="1024">
        <f>'Customer Output'!D31</f>
        <v>0</v>
      </c>
      <c r="E32" s="1024">
        <f>'Customer Output'!E31</f>
        <v>0</v>
      </c>
      <c r="F32" s="1024">
        <f>'Customer Output'!F31</f>
        <v>0</v>
      </c>
      <c r="G32" s="1024">
        <f>'Customer Output'!G31</f>
        <v>0</v>
      </c>
      <c r="H32" s="1024">
        <f>'Customer Output'!H31</f>
        <v>0</v>
      </c>
      <c r="I32" s="1024">
        <f>'Customer Output'!I31</f>
        <v>0</v>
      </c>
      <c r="J32" s="1024">
        <f>'Customer Output'!J31</f>
        <v>0</v>
      </c>
      <c r="K32" s="1024">
        <f>'Customer Output'!K31</f>
        <v>0</v>
      </c>
      <c r="L32" s="1024">
        <f>'Customer Output'!L31</f>
        <v>0</v>
      </c>
      <c r="M32" s="1024">
        <f>'Customer Output'!M31</f>
        <v>0</v>
      </c>
      <c r="N32" s="1024">
        <f>'Customer Output'!N31</f>
        <v>0</v>
      </c>
      <c r="O32" s="1025">
        <f>'Customer Output'!O31</f>
        <v>0</v>
      </c>
    </row>
    <row r="33" spans="2:15" ht="15.75" thickBot="1">
      <c r="B33" s="1122"/>
      <c r="C33" s="630" t="s">
        <v>188</v>
      </c>
      <c r="D33" s="1026">
        <f>'Customer Output'!D32</f>
        <v>0</v>
      </c>
      <c r="E33" s="1026">
        <f>'Customer Output'!E32</f>
        <v>0</v>
      </c>
      <c r="F33" s="1026">
        <f>'Customer Output'!F32</f>
        <v>105000</v>
      </c>
      <c r="G33" s="1026">
        <f>'Customer Output'!G32</f>
        <v>107100</v>
      </c>
      <c r="H33" s="1026">
        <f>'Customer Output'!H32</f>
        <v>109221</v>
      </c>
      <c r="I33" s="1026">
        <f>'Customer Output'!I32</f>
        <v>111363.21000000002</v>
      </c>
      <c r="J33" s="1026">
        <f>'Customer Output'!J32</f>
        <v>113526.84210000004</v>
      </c>
      <c r="K33" s="1026">
        <f>'Customer Output'!K32</f>
        <v>220712.11052100002</v>
      </c>
      <c r="L33" s="1026">
        <f>'Customer Output'!L32</f>
        <v>222919.23162621004</v>
      </c>
      <c r="M33" s="1026">
        <f>'Customer Output'!M32</f>
        <v>225148.42394247212</v>
      </c>
      <c r="N33" s="1026">
        <f>'Customer Output'!N32</f>
        <v>227399.90818189684</v>
      </c>
      <c r="O33" s="1027">
        <f>'Customer Output'!O32</f>
        <v>229673.90726371584</v>
      </c>
    </row>
    <row r="34" ht="15.75" thickBot="1"/>
    <row r="35" spans="3:6" ht="15.75" thickBot="1">
      <c r="C35" s="1086" t="s">
        <v>396</v>
      </c>
      <c r="D35" s="1087"/>
      <c r="E35" s="1014"/>
      <c r="F35" s="1014"/>
    </row>
    <row r="36" spans="3:6" ht="15">
      <c r="C36" s="994" t="str">
        <f>' Summary'!I65</f>
        <v>Fees for Project Design (Soft Cost)</v>
      </c>
      <c r="D36" s="987">
        <f>' Summary'!J65</f>
        <v>17470</v>
      </c>
      <c r="E36" s="140"/>
      <c r="F36" s="287"/>
    </row>
    <row r="37" spans="3:6" ht="15">
      <c r="C37" s="986" t="str">
        <f>' Summary'!I66</f>
        <v>Sale of Equipment (Hard Cost)</v>
      </c>
      <c r="D37" s="987">
        <f>' Summary'!J66</f>
        <v>357000</v>
      </c>
      <c r="E37" s="140"/>
      <c r="F37" s="140"/>
    </row>
    <row r="38" spans="3:6" ht="15">
      <c r="C38" s="949"/>
      <c r="D38" s="988"/>
      <c r="E38" s="1012"/>
      <c r="F38" s="1014"/>
    </row>
    <row r="39" spans="3:6" ht="15">
      <c r="C39" s="949" t="str">
        <f>' Summary'!I68</f>
        <v>ESCO NPV</v>
      </c>
      <c r="D39" s="988" t="e">
        <f>' Summary'!J68</f>
        <v>#VALUE!</v>
      </c>
      <c r="E39" s="1013"/>
      <c r="F39" s="1014"/>
    </row>
    <row r="40" spans="3:6" ht="15">
      <c r="C40" s="949" t="str">
        <f>' Summary'!I69</f>
        <v>ESCO Cumulative Net Cash Flow</v>
      </c>
      <c r="D40" s="989" t="e">
        <f>' Summary'!J69</f>
        <v>#VALUE!</v>
      </c>
      <c r="E40" s="1013"/>
      <c r="F40" s="1014"/>
    </row>
    <row r="41" spans="3:6" ht="15">
      <c r="C41" s="949" t="str">
        <f>' Summary'!I70</f>
        <v>ESCO IRR</v>
      </c>
      <c r="D41" s="990" t="e">
        <f>' Summary'!J70</f>
        <v>#VALUE!</v>
      </c>
      <c r="E41" s="1013"/>
      <c r="F41" s="1014"/>
    </row>
    <row r="42" spans="3:6" ht="15">
      <c r="C42" s="949" t="str">
        <f>' Summary'!I71</f>
        <v>Cash Profit on Lump Sum Contract</v>
      </c>
      <c r="D42" s="991">
        <f>' Summary'!J71</f>
        <v>41447</v>
      </c>
      <c r="E42" s="1013"/>
      <c r="F42" s="1014"/>
    </row>
    <row r="43" spans="3:5" ht="15.75" thickBot="1">
      <c r="C43" s="950" t="str">
        <f>' Summary'!I72</f>
        <v>ESCO Project Cost + NPV of Net Cash Flow</v>
      </c>
      <c r="D43" s="992" t="e">
        <f>' Summary'!J72</f>
        <v>#VALUE!</v>
      </c>
      <c r="E43" s="1012"/>
    </row>
    <row r="44" spans="3:5" ht="15.75" thickBot="1">
      <c r="C44" s="100"/>
      <c r="D44" s="1011"/>
      <c r="E44" s="100"/>
    </row>
    <row r="45" spans="3:15" ht="15.75" thickBot="1">
      <c r="C45" s="1082" t="s">
        <v>397</v>
      </c>
      <c r="D45" s="1083"/>
      <c r="E45" s="100"/>
      <c r="G45" s="273"/>
      <c r="H45" s="1108"/>
      <c r="I45" s="1108"/>
      <c r="J45" s="100"/>
      <c r="K45" s="274"/>
      <c r="L45" s="274"/>
      <c r="M45" s="274"/>
      <c r="N45" s="274"/>
      <c r="O45" s="274"/>
    </row>
    <row r="46" spans="3:5" ht="15">
      <c r="C46" s="980" t="s">
        <v>11</v>
      </c>
      <c r="D46" s="981">
        <f>' Summary'!F78</f>
        <v>414644.7</v>
      </c>
      <c r="E46" s="100"/>
    </row>
    <row r="47" spans="3:5" ht="15">
      <c r="C47" s="980" t="s">
        <v>204</v>
      </c>
      <c r="D47" s="982">
        <f>' Summary'!F79</f>
        <v>1.6833333333333333</v>
      </c>
      <c r="E47" s="100"/>
    </row>
    <row r="48" spans="3:5" ht="15">
      <c r="C48" s="980" t="s">
        <v>215</v>
      </c>
      <c r="D48" s="983">
        <f>' Summary'!F80</f>
        <v>0.594059405940594</v>
      </c>
      <c r="E48" s="100"/>
    </row>
    <row r="49" spans="3:5" ht="15">
      <c r="C49" s="980" t="s">
        <v>205</v>
      </c>
      <c r="D49" s="982">
        <f>' Summary'!F81</f>
        <v>2.171865238095238</v>
      </c>
      <c r="E49" s="100"/>
    </row>
    <row r="50" spans="3:5" ht="15.75" thickBot="1">
      <c r="C50" s="984" t="s">
        <v>217</v>
      </c>
      <c r="D50" s="985">
        <f>' Summary'!F82</f>
        <v>0.5072103258808672</v>
      </c>
      <c r="E50" s="100"/>
    </row>
    <row r="51" spans="3:5" ht="15">
      <c r="C51" s="100"/>
      <c r="D51" s="1010"/>
      <c r="E51" s="100"/>
    </row>
    <row r="52" ht="15.75" thickBot="1"/>
    <row r="53" spans="2:15" ht="15.75">
      <c r="B53" s="1111" t="s">
        <v>275</v>
      </c>
      <c r="C53" s="1125"/>
      <c r="D53" s="1125"/>
      <c r="E53" s="1125"/>
      <c r="F53" s="1125"/>
      <c r="G53" s="1125"/>
      <c r="H53" s="1125"/>
      <c r="I53" s="1125"/>
      <c r="J53" s="1125"/>
      <c r="K53" s="1125"/>
      <c r="L53" s="1125"/>
      <c r="M53" s="1125"/>
      <c r="N53" s="1125"/>
      <c r="O53" s="1126"/>
    </row>
    <row r="54" spans="2:15" ht="15.75" thickBot="1">
      <c r="B54" s="285"/>
      <c r="C54" s="2"/>
      <c r="D54" s="275" t="s">
        <v>248</v>
      </c>
      <c r="E54" s="275" t="s">
        <v>95</v>
      </c>
      <c r="F54" s="275" t="s">
        <v>254</v>
      </c>
      <c r="G54" s="275" t="s">
        <v>255</v>
      </c>
      <c r="H54" s="275" t="s">
        <v>256</v>
      </c>
      <c r="I54" s="275" t="s">
        <v>257</v>
      </c>
      <c r="J54" s="275" t="s">
        <v>258</v>
      </c>
      <c r="K54" s="275" t="s">
        <v>259</v>
      </c>
      <c r="L54" s="275" t="s">
        <v>260</v>
      </c>
      <c r="M54" s="275" t="s">
        <v>261</v>
      </c>
      <c r="N54" s="275" t="s">
        <v>262</v>
      </c>
      <c r="O54" s="288" t="s">
        <v>263</v>
      </c>
    </row>
    <row r="55" spans="2:15" ht="15">
      <c r="B55" s="1127" t="s">
        <v>268</v>
      </c>
      <c r="C55" s="1015" t="s">
        <v>253</v>
      </c>
      <c r="D55" s="1016">
        <f>'SPE Output'!D23</f>
        <v>6.995</v>
      </c>
      <c r="E55" s="1017">
        <f>'SPE Output'!E23</f>
        <v>10.53267765</v>
      </c>
      <c r="F55" s="1017">
        <f>'SPE Output'!F23</f>
        <v>14.3293954698</v>
      </c>
      <c r="G55" s="1017">
        <f>'SPE Output'!G23</f>
        <v>18.123143389600003</v>
      </c>
      <c r="H55" s="1017">
        <f>'SPE Output'!H23</f>
        <v>21.9168913094</v>
      </c>
      <c r="I55" s="1017">
        <f>'SPE Output'!I23</f>
        <v>25.710639229199998</v>
      </c>
      <c r="J55" s="1017">
        <f>'SPE Output'!J23</f>
        <v>29.504387148999996</v>
      </c>
      <c r="K55" s="1017">
        <f>'SPE Output'!K23</f>
        <v>33.24938714899999</v>
      </c>
      <c r="L55" s="1017">
        <f>'SPE Output'!L23</f>
        <v>36.994387149</v>
      </c>
      <c r="M55" s="1017">
        <f>'SPE Output'!M23</f>
        <v>40.739387148999995</v>
      </c>
      <c r="N55" s="1017">
        <f>'SPE Output'!N23</f>
        <v>44.484387149</v>
      </c>
      <c r="O55" s="1018">
        <f>'SPE Output'!O23</f>
        <v>48.229387149</v>
      </c>
    </row>
    <row r="56" spans="2:15" ht="15">
      <c r="B56" s="1127"/>
      <c r="C56" s="811" t="s">
        <v>265</v>
      </c>
      <c r="D56" s="826">
        <f>'SPE Output'!D24</f>
        <v>0.29178824510212586</v>
      </c>
      <c r="E56" s="827">
        <f>'SPE Output'!E24</f>
        <v>0.22236340533672172</v>
      </c>
      <c r="F56" s="827">
        <f>'SPE Output'!F24</f>
        <v>0.17953088052769042</v>
      </c>
      <c r="G56" s="827">
        <f>'SPE Output'!G24</f>
        <v>0.15055358467311777</v>
      </c>
      <c r="H56" s="827">
        <f>'SPE Output'!H24</f>
        <v>0.1296304926355122</v>
      </c>
      <c r="I56" s="827">
        <f>'SPE Output'!I24</f>
        <v>0.11381335190057423</v>
      </c>
      <c r="J56" s="827">
        <f>'SPE Output'!J24</f>
        <v>0.10143637633342045</v>
      </c>
      <c r="K56" s="827">
        <f>'SPE Output'!K24</f>
        <v>0.0915047340854324</v>
      </c>
      <c r="L56" s="827">
        <f>'SPE Output'!L24</f>
        <v>0.083344471430948</v>
      </c>
      <c r="M56" s="827">
        <f>'SPE Output'!M24</f>
        <v>0.07652048307071646</v>
      </c>
      <c r="N56" s="827">
        <f>'SPE Output'!N24</f>
        <v>0.07072937954068871</v>
      </c>
      <c r="O56" s="828">
        <f>'SPE Output'!O24</f>
        <v>0.06575315229917603</v>
      </c>
    </row>
    <row r="57" spans="2:15" ht="15">
      <c r="B57" s="1127"/>
      <c r="C57" s="811" t="s">
        <v>157</v>
      </c>
      <c r="D57" s="826">
        <f>'SPE Output'!D25</f>
        <v>0.4120070629782225</v>
      </c>
      <c r="E57" s="827">
        <f>'SPE Output'!E25</f>
        <v>0.28594771241830064</v>
      </c>
      <c r="F57" s="827">
        <f>'SPE Output'!F25</f>
        <v>0.21881491486621332</v>
      </c>
      <c r="G57" s="827">
        <f>'SPE Output'!G25</f>
        <v>0.1772372947329256</v>
      </c>
      <c r="H57" s="827">
        <f>'SPE Output'!H25</f>
        <v>0.14893730942854178</v>
      </c>
      <c r="I57" s="827">
        <f>'SPE Output'!I25</f>
        <v>0.1284304521453419</v>
      </c>
      <c r="J57" s="827">
        <f>'SPE Output'!J25</f>
        <v>0.11288724989724197</v>
      </c>
      <c r="K57" s="827">
        <f>'SPE Output'!K25</f>
        <v>0.10072120077952862</v>
      </c>
      <c r="L57" s="827">
        <f>'SPE Output'!L25</f>
        <v>0.09092234632681827</v>
      </c>
      <c r="M57" s="827">
        <f>'SPE Output'!M25</f>
        <v>0.08286105069786415</v>
      </c>
      <c r="N57" s="827">
        <f>'SPE Output'!N25</f>
        <v>0.07611278994888405</v>
      </c>
      <c r="O57" s="828">
        <f>'SPE Output'!O25</f>
        <v>0.07038091962632162</v>
      </c>
    </row>
    <row r="58" spans="2:15" ht="15">
      <c r="B58" s="1127"/>
      <c r="C58" s="811" t="s">
        <v>153</v>
      </c>
      <c r="D58" s="826">
        <f>'SPE Output'!D26</f>
        <v>-13.98</v>
      </c>
      <c r="E58" s="827">
        <f>'SPE Output'!E26</f>
        <v>-13.98</v>
      </c>
      <c r="F58" s="827">
        <f>'SPE Output'!F26</f>
        <v>-14.186871279199998</v>
      </c>
      <c r="G58" s="827">
        <f>'SPE Output'!G26</f>
        <v>-14.174991679200001</v>
      </c>
      <c r="H58" s="827">
        <f>'SPE Output'!H26</f>
        <v>-14.174991679200001</v>
      </c>
      <c r="I58" s="827">
        <f>'SPE Output'!I26</f>
        <v>-14.174991679200001</v>
      </c>
      <c r="J58" s="827">
        <f>'SPE Output'!J26</f>
        <v>-14.174991679200001</v>
      </c>
      <c r="K58" s="827">
        <f>'SPE Output'!K26</f>
        <v>-13.98</v>
      </c>
      <c r="L58" s="827">
        <f>'SPE Output'!L26</f>
        <v>-13.98</v>
      </c>
      <c r="M58" s="827">
        <f>'SPE Output'!M26</f>
        <v>-13.98</v>
      </c>
      <c r="N58" s="827">
        <f>'SPE Output'!N26</f>
        <v>-13.98</v>
      </c>
      <c r="O58" s="828">
        <f>'SPE Output'!O26</f>
        <v>-13.98</v>
      </c>
    </row>
    <row r="59" spans="2:15" ht="15">
      <c r="B59" s="1127"/>
      <c r="C59" s="811" t="s">
        <v>176</v>
      </c>
      <c r="D59" s="826">
        <f>'SPE Output'!D27</f>
        <v>0.4</v>
      </c>
      <c r="E59" s="827">
        <f>'SPE Output'!E27</f>
        <v>0.4</v>
      </c>
      <c r="F59" s="827">
        <f>'SPE Output'!F27</f>
        <v>0.3960961919686582</v>
      </c>
      <c r="G59" s="827">
        <f>'SPE Output'!G27</f>
        <v>0.3960961919686582</v>
      </c>
      <c r="H59" s="827">
        <f>'SPE Output'!H27</f>
        <v>0.3960961919686582</v>
      </c>
      <c r="I59" s="827">
        <f>'SPE Output'!I27</f>
        <v>0.3960961919686582</v>
      </c>
      <c r="J59" s="827">
        <f>'SPE Output'!J27</f>
        <v>0.3960961919686582</v>
      </c>
      <c r="K59" s="827">
        <f>'SPE Output'!K27</f>
        <v>0.4</v>
      </c>
      <c r="L59" s="827">
        <f>'SPE Output'!L27</f>
        <v>0.4</v>
      </c>
      <c r="M59" s="827">
        <f>'SPE Output'!M27</f>
        <v>0.4</v>
      </c>
      <c r="N59" s="827">
        <f>'SPE Output'!N27</f>
        <v>0.4</v>
      </c>
      <c r="O59" s="828">
        <f>'SPE Output'!O27</f>
        <v>0.4</v>
      </c>
    </row>
    <row r="60" spans="2:15" ht="15">
      <c r="B60" s="1127"/>
      <c r="C60" s="811" t="s">
        <v>162</v>
      </c>
      <c r="D60" s="826">
        <f>'SPE Output'!D28</f>
        <v>0.198</v>
      </c>
      <c r="E60" s="827">
        <f>'SPE Output'!E28</f>
        <v>0.198</v>
      </c>
      <c r="F60" s="827">
        <f>'SPE Output'!F28</f>
        <v>0.19794450530852103</v>
      </c>
      <c r="G60" s="827">
        <f>'SPE Output'!G28</f>
        <v>0.19678097935357491</v>
      </c>
      <c r="H60" s="827">
        <f>'SPE Output'!H28</f>
        <v>0.19678097935357491</v>
      </c>
      <c r="I60" s="827">
        <f>'SPE Output'!I28</f>
        <v>0.19678097935357491</v>
      </c>
      <c r="J60" s="827">
        <f>'SPE Output'!J28</f>
        <v>0.19678097935357491</v>
      </c>
      <c r="K60" s="827">
        <f>'SPE Output'!K28</f>
        <v>0.198</v>
      </c>
      <c r="L60" s="827">
        <f>'SPE Output'!L28</f>
        <v>0.198</v>
      </c>
      <c r="M60" s="827">
        <f>'SPE Output'!M28</f>
        <v>0.198</v>
      </c>
      <c r="N60" s="827">
        <f>'SPE Output'!N28</f>
        <v>0.198</v>
      </c>
      <c r="O60" s="828">
        <f>'SPE Output'!O28</f>
        <v>0.198</v>
      </c>
    </row>
    <row r="61" spans="2:15" ht="15.75" thickBot="1">
      <c r="B61" s="1128"/>
      <c r="C61" s="816" t="s">
        <v>266</v>
      </c>
      <c r="D61" s="1019">
        <f>'SPE Output'!D29</f>
        <v>5000000</v>
      </c>
      <c r="E61" s="1020">
        <f>'SPE Output'!E29</f>
        <v>5000000</v>
      </c>
      <c r="F61" s="1020">
        <f>'SPE Output'!F29</f>
        <v>5000000</v>
      </c>
      <c r="G61" s="1020">
        <f>'SPE Output'!G29</f>
        <v>5000000</v>
      </c>
      <c r="H61" s="1020">
        <f>'SPE Output'!H29</f>
        <v>5000000</v>
      </c>
      <c r="I61" s="1020">
        <f>'SPE Output'!I29</f>
        <v>5000000</v>
      </c>
      <c r="J61" s="1020">
        <f>'SPE Output'!J29</f>
        <v>5000000</v>
      </c>
      <c r="K61" s="1020">
        <f>'SPE Output'!K29</f>
        <v>5000000</v>
      </c>
      <c r="L61" s="1020">
        <f>'SPE Output'!L29</f>
        <v>5000000</v>
      </c>
      <c r="M61" s="1020">
        <f>'SPE Output'!M29</f>
        <v>5000000</v>
      </c>
      <c r="N61" s="1020">
        <f>'SPE Output'!N29</f>
        <v>5000000</v>
      </c>
      <c r="O61" s="1021">
        <f>'SPE Output'!O29</f>
        <v>5000000</v>
      </c>
    </row>
  </sheetData>
  <sheetProtection password="D997" sheet="1" objects="1" scenarios="1"/>
  <mergeCells count="10">
    <mergeCell ref="C2:D2"/>
    <mergeCell ref="C14:D14"/>
    <mergeCell ref="G4:K4"/>
    <mergeCell ref="H45:I45"/>
    <mergeCell ref="B53:O53"/>
    <mergeCell ref="B55:B61"/>
    <mergeCell ref="B24:O24"/>
    <mergeCell ref="B26:B33"/>
    <mergeCell ref="C35:D35"/>
    <mergeCell ref="C45:D45"/>
  </mergeCells>
  <printOptions/>
  <pageMargins left="0.75" right="0.75" top="1" bottom="1" header="0.5" footer="0.5"/>
  <pageSetup horizontalDpi="600" verticalDpi="600" orientation="landscape" scale="53" r:id="rId3"/>
  <legacyDrawing r:id="rId2"/>
</worksheet>
</file>

<file path=xl/worksheets/sheet8.xml><?xml version="1.0" encoding="utf-8"?>
<worksheet xmlns="http://schemas.openxmlformats.org/spreadsheetml/2006/main" xmlns:r="http://schemas.openxmlformats.org/officeDocument/2006/relationships">
  <sheetPr codeName="Sheet3"/>
  <dimension ref="A1:AC65536"/>
  <sheetViews>
    <sheetView showGridLines="0" zoomScale="80" zoomScaleNormal="80" workbookViewId="0" topLeftCell="A1">
      <selection activeCell="H14" sqref="H14"/>
    </sheetView>
  </sheetViews>
  <sheetFormatPr defaultColWidth="9.140625" defaultRowHeight="15"/>
  <cols>
    <col min="1" max="1" width="6.421875" style="41" bestFit="1" customWidth="1"/>
    <col min="2" max="2" width="22.28125" style="41" customWidth="1"/>
    <col min="3" max="3" width="18.28125" style="41" customWidth="1"/>
    <col min="4" max="4" width="13.00390625" style="41" customWidth="1"/>
    <col min="5" max="5" width="18.57421875" style="41" customWidth="1"/>
    <col min="6" max="6" width="11.8515625" style="41" customWidth="1"/>
    <col min="7" max="7" width="12.421875" style="41" customWidth="1"/>
    <col min="8" max="8" width="11.7109375" style="41" customWidth="1"/>
    <col min="9" max="9" width="16.7109375" style="41" customWidth="1"/>
    <col min="10" max="10" width="13.8515625" style="41" customWidth="1"/>
    <col min="11" max="11" width="8.8515625" style="41" customWidth="1"/>
    <col min="12" max="12" width="9.8515625" style="41" customWidth="1"/>
    <col min="13" max="15" width="8.8515625" style="41" customWidth="1"/>
    <col min="16" max="16" width="15.7109375" style="41" bestFit="1" customWidth="1"/>
    <col min="17" max="17" width="11.00390625" style="41" customWidth="1"/>
    <col min="18" max="26" width="9.8515625" style="41" bestFit="1" customWidth="1"/>
    <col min="27" max="16384" width="8.8515625" style="41" customWidth="1"/>
  </cols>
  <sheetData>
    <row r="1" spans="1:6" ht="15.75">
      <c r="A1" s="54" t="s">
        <v>46</v>
      </c>
      <c r="B1" s="54"/>
      <c r="C1" s="54"/>
      <c r="D1" s="54"/>
      <c r="E1" s="54"/>
      <c r="F1" s="54"/>
    </row>
    <row r="2" spans="1:17" ht="15.75" thickBot="1">
      <c r="A2" s="55"/>
      <c r="B2" s="44"/>
      <c r="C2" s="44"/>
      <c r="D2" s="44"/>
      <c r="E2" s="44"/>
      <c r="F2" s="44"/>
      <c r="G2" s="44"/>
      <c r="H2" s="44"/>
      <c r="I2" s="44"/>
      <c r="J2" s="44"/>
      <c r="K2" s="44"/>
      <c r="P2" s="41" t="s">
        <v>137</v>
      </c>
      <c r="Q2" s="41" t="s">
        <v>136</v>
      </c>
    </row>
    <row r="3" spans="1:26" ht="30.75" customHeight="1" thickBot="1">
      <c r="A3" s="42"/>
      <c r="B3" s="46" t="s">
        <v>47</v>
      </c>
      <c r="C3" s="46" t="s">
        <v>29</v>
      </c>
      <c r="D3" s="46" t="s">
        <v>140</v>
      </c>
      <c r="E3" s="46" t="s">
        <v>141</v>
      </c>
      <c r="F3" s="46" t="s">
        <v>48</v>
      </c>
      <c r="G3" s="46" t="s">
        <v>49</v>
      </c>
      <c r="H3" s="46" t="s">
        <v>50</v>
      </c>
      <c r="I3" s="46" t="s">
        <v>51</v>
      </c>
      <c r="J3" s="47" t="s">
        <v>52</v>
      </c>
      <c r="K3" s="47" t="s">
        <v>189</v>
      </c>
      <c r="L3" s="47" t="s">
        <v>219</v>
      </c>
      <c r="M3" s="46" t="s">
        <v>55</v>
      </c>
      <c r="Q3" s="41">
        <v>1</v>
      </c>
      <c r="R3" s="41">
        <v>2</v>
      </c>
      <c r="S3" s="41">
        <v>3</v>
      </c>
      <c r="T3" s="41">
        <v>4</v>
      </c>
      <c r="U3" s="41">
        <v>5</v>
      </c>
      <c r="V3" s="41">
        <v>6</v>
      </c>
      <c r="W3" s="41">
        <v>7</v>
      </c>
      <c r="X3" s="41">
        <v>8</v>
      </c>
      <c r="Y3" s="41">
        <v>9</v>
      </c>
      <c r="Z3" s="41">
        <v>10</v>
      </c>
    </row>
    <row r="4" spans="1:27" ht="19.5" thickBot="1">
      <c r="A4" s="50">
        <v>1</v>
      </c>
      <c r="B4" s="408">
        <f>Inputs!B4</f>
        <v>1</v>
      </c>
      <c r="C4" s="408">
        <f>Inputs!C4</f>
        <v>350000</v>
      </c>
      <c r="D4" s="129">
        <f>C4*' Summary'!J$22</f>
        <v>3500</v>
      </c>
      <c r="E4" s="129">
        <f aca="true" t="shared" si="0" ref="E4:E13">C4+D4</f>
        <v>353500</v>
      </c>
      <c r="F4" s="129">
        <f>Inputs!D4</f>
        <v>200000</v>
      </c>
      <c r="G4" s="129">
        <f>Inputs!E4</f>
        <v>5000</v>
      </c>
      <c r="H4" s="129">
        <f>Inputs!F4</f>
        <v>5000</v>
      </c>
      <c r="I4" s="129">
        <f aca="true" t="shared" si="1" ref="I4:I13">SUM(F4:H4)</f>
        <v>210000</v>
      </c>
      <c r="J4" s="63">
        <f aca="true" t="shared" si="2" ref="J4:J14">E4/I4</f>
        <v>1.6833333333333333</v>
      </c>
      <c r="K4" s="108">
        <f aca="true" t="shared" si="3" ref="K4:K14">I4/E4</f>
        <v>0.594059405940594</v>
      </c>
      <c r="L4" s="409">
        <f>Inputs!H4</f>
        <v>10</v>
      </c>
      <c r="M4" s="129">
        <f>Inputs!G4</f>
        <v>5000</v>
      </c>
      <c r="N4" s="115"/>
      <c r="O4" s="115"/>
      <c r="P4" s="43">
        <f>' Summary'!J15</f>
        <v>0.01</v>
      </c>
      <c r="Q4" s="131">
        <f aca="true" t="shared" si="4" ref="Q4:Q13">IF(Q$3&lt;=$L4,$F4,0)</f>
        <v>200000</v>
      </c>
      <c r="R4" s="131">
        <f aca="true" t="shared" si="5" ref="R4:Z4">IF(R$3&lt;=$L4,Q4*(1+$P$4),0)</f>
        <v>202000</v>
      </c>
      <c r="S4" s="131">
        <f t="shared" si="5"/>
        <v>204020</v>
      </c>
      <c r="T4" s="131">
        <f t="shared" si="5"/>
        <v>206060.2</v>
      </c>
      <c r="U4" s="131">
        <f t="shared" si="5"/>
        <v>208120.80200000003</v>
      </c>
      <c r="V4" s="131">
        <f t="shared" si="5"/>
        <v>210202.01002000002</v>
      </c>
      <c r="W4" s="131">
        <f t="shared" si="5"/>
        <v>212304.0301202</v>
      </c>
      <c r="X4" s="131">
        <f t="shared" si="5"/>
        <v>214427.07042140202</v>
      </c>
      <c r="Y4" s="131">
        <f t="shared" si="5"/>
        <v>216571.34112561605</v>
      </c>
      <c r="Z4" s="131">
        <f t="shared" si="5"/>
        <v>218737.05453687222</v>
      </c>
      <c r="AA4" s="131"/>
    </row>
    <row r="5" spans="1:27" ht="15.75" thickBot="1">
      <c r="A5" s="50">
        <v>2</v>
      </c>
      <c r="B5" s="408">
        <f>Inputs!B5</f>
        <v>0</v>
      </c>
      <c r="C5" s="408">
        <f>Inputs!C5</f>
        <v>0</v>
      </c>
      <c r="D5" s="129">
        <f>C5*' Summary'!J$22</f>
        <v>0</v>
      </c>
      <c r="E5" s="129">
        <f t="shared" si="0"/>
        <v>0</v>
      </c>
      <c r="F5" s="129">
        <f>Inputs!D5</f>
        <v>0</v>
      </c>
      <c r="G5" s="129">
        <f>Inputs!E5</f>
        <v>0</v>
      </c>
      <c r="H5" s="129">
        <f>Inputs!F5</f>
        <v>0</v>
      </c>
      <c r="I5" s="129">
        <f t="shared" si="1"/>
        <v>0</v>
      </c>
      <c r="J5" s="63" t="e">
        <f t="shared" si="2"/>
        <v>#DIV/0!</v>
      </c>
      <c r="K5" s="108" t="e">
        <f t="shared" si="3"/>
        <v>#DIV/0!</v>
      </c>
      <c r="L5" s="409">
        <f>Inputs!H5</f>
        <v>0</v>
      </c>
      <c r="M5" s="129">
        <f>Inputs!G5</f>
        <v>0</v>
      </c>
      <c r="Q5" s="131">
        <f t="shared" si="4"/>
        <v>0</v>
      </c>
      <c r="R5" s="131">
        <f aca="true" t="shared" si="6" ref="R5:Z5">IF(R$3&lt;=$L5,Q5*(1+$P$4),0)</f>
        <v>0</v>
      </c>
      <c r="S5" s="131">
        <f t="shared" si="6"/>
        <v>0</v>
      </c>
      <c r="T5" s="131">
        <f t="shared" si="6"/>
        <v>0</v>
      </c>
      <c r="U5" s="131">
        <f t="shared" si="6"/>
        <v>0</v>
      </c>
      <c r="V5" s="131">
        <f t="shared" si="6"/>
        <v>0</v>
      </c>
      <c r="W5" s="131">
        <f t="shared" si="6"/>
        <v>0</v>
      </c>
      <c r="X5" s="131">
        <f t="shared" si="6"/>
        <v>0</v>
      </c>
      <c r="Y5" s="131">
        <f t="shared" si="6"/>
        <v>0</v>
      </c>
      <c r="Z5" s="131">
        <f t="shared" si="6"/>
        <v>0</v>
      </c>
      <c r="AA5" s="131"/>
    </row>
    <row r="6" spans="1:27" ht="15.75" thickBot="1">
      <c r="A6" s="50">
        <v>3</v>
      </c>
      <c r="B6" s="408">
        <f>Inputs!B6</f>
        <v>0</v>
      </c>
      <c r="C6" s="408">
        <f>Inputs!C6</f>
        <v>0</v>
      </c>
      <c r="D6" s="129">
        <f>C6*' Summary'!J$22</f>
        <v>0</v>
      </c>
      <c r="E6" s="129">
        <f t="shared" si="0"/>
        <v>0</v>
      </c>
      <c r="F6" s="129">
        <f>Inputs!D6</f>
        <v>0</v>
      </c>
      <c r="G6" s="129">
        <f>Inputs!E6</f>
        <v>0</v>
      </c>
      <c r="H6" s="129">
        <f>Inputs!F6</f>
        <v>0</v>
      </c>
      <c r="I6" s="129">
        <f t="shared" si="1"/>
        <v>0</v>
      </c>
      <c r="J6" s="63" t="e">
        <f t="shared" si="2"/>
        <v>#DIV/0!</v>
      </c>
      <c r="K6" s="108" t="e">
        <f t="shared" si="3"/>
        <v>#DIV/0!</v>
      </c>
      <c r="L6" s="409">
        <f>Inputs!H6</f>
        <v>0</v>
      </c>
      <c r="M6" s="129">
        <f>Inputs!G6</f>
        <v>0</v>
      </c>
      <c r="Q6" s="131">
        <f t="shared" si="4"/>
        <v>0</v>
      </c>
      <c r="R6" s="131">
        <f aca="true" t="shared" si="7" ref="R6:Z6">IF(R$3&lt;=$L6,Q6*(1+$P$4),0)</f>
        <v>0</v>
      </c>
      <c r="S6" s="131">
        <f t="shared" si="7"/>
        <v>0</v>
      </c>
      <c r="T6" s="131">
        <f t="shared" si="7"/>
        <v>0</v>
      </c>
      <c r="U6" s="131">
        <f t="shared" si="7"/>
        <v>0</v>
      </c>
      <c r="V6" s="131">
        <f t="shared" si="7"/>
        <v>0</v>
      </c>
      <c r="W6" s="131">
        <f t="shared" si="7"/>
        <v>0</v>
      </c>
      <c r="X6" s="131">
        <f t="shared" si="7"/>
        <v>0</v>
      </c>
      <c r="Y6" s="131">
        <f t="shared" si="7"/>
        <v>0</v>
      </c>
      <c r="Z6" s="131">
        <f t="shared" si="7"/>
        <v>0</v>
      </c>
      <c r="AA6" s="131"/>
    </row>
    <row r="7" spans="1:27" ht="15.75" thickBot="1">
      <c r="A7" s="50">
        <v>4</v>
      </c>
      <c r="B7" s="408">
        <f>Inputs!B7</f>
        <v>0</v>
      </c>
      <c r="C7" s="408">
        <f>Inputs!C7</f>
        <v>0</v>
      </c>
      <c r="D7" s="129">
        <f>C7*' Summary'!J$22</f>
        <v>0</v>
      </c>
      <c r="E7" s="129">
        <f t="shared" si="0"/>
        <v>0</v>
      </c>
      <c r="F7" s="129">
        <f>Inputs!D7</f>
        <v>0</v>
      </c>
      <c r="G7" s="129">
        <f>Inputs!E7</f>
        <v>0</v>
      </c>
      <c r="H7" s="129">
        <f>Inputs!F7</f>
        <v>0</v>
      </c>
      <c r="I7" s="129">
        <f t="shared" si="1"/>
        <v>0</v>
      </c>
      <c r="J7" s="63" t="e">
        <f t="shared" si="2"/>
        <v>#DIV/0!</v>
      </c>
      <c r="K7" s="108" t="e">
        <f t="shared" si="3"/>
        <v>#DIV/0!</v>
      </c>
      <c r="L7" s="409">
        <f>Inputs!H7</f>
        <v>0</v>
      </c>
      <c r="M7" s="129">
        <f>Inputs!G7</f>
        <v>0</v>
      </c>
      <c r="Q7" s="131">
        <f t="shared" si="4"/>
        <v>0</v>
      </c>
      <c r="R7" s="131">
        <f aca="true" t="shared" si="8" ref="R7:Z7">IF(R$3&lt;=$L7,Q7*(1+$P$4),0)</f>
        <v>0</v>
      </c>
      <c r="S7" s="131">
        <f t="shared" si="8"/>
        <v>0</v>
      </c>
      <c r="T7" s="131">
        <f t="shared" si="8"/>
        <v>0</v>
      </c>
      <c r="U7" s="131">
        <f t="shared" si="8"/>
        <v>0</v>
      </c>
      <c r="V7" s="131">
        <f t="shared" si="8"/>
        <v>0</v>
      </c>
      <c r="W7" s="131">
        <f t="shared" si="8"/>
        <v>0</v>
      </c>
      <c r="X7" s="131">
        <f t="shared" si="8"/>
        <v>0</v>
      </c>
      <c r="Y7" s="131">
        <f t="shared" si="8"/>
        <v>0</v>
      </c>
      <c r="Z7" s="131">
        <f t="shared" si="8"/>
        <v>0</v>
      </c>
      <c r="AA7" s="131"/>
    </row>
    <row r="8" spans="1:27" ht="15.75" thickBot="1">
      <c r="A8" s="50">
        <v>5</v>
      </c>
      <c r="B8" s="408">
        <f>Inputs!B8</f>
        <v>0</v>
      </c>
      <c r="C8" s="408">
        <f>Inputs!C8</f>
        <v>0</v>
      </c>
      <c r="D8" s="129">
        <f>C8*' Summary'!J$22</f>
        <v>0</v>
      </c>
      <c r="E8" s="129">
        <f t="shared" si="0"/>
        <v>0</v>
      </c>
      <c r="F8" s="129">
        <f>Inputs!D8</f>
        <v>0</v>
      </c>
      <c r="G8" s="129">
        <f>Inputs!E8</f>
        <v>0</v>
      </c>
      <c r="H8" s="129">
        <f>Inputs!F8</f>
        <v>0</v>
      </c>
      <c r="I8" s="129">
        <f t="shared" si="1"/>
        <v>0</v>
      </c>
      <c r="J8" s="63" t="e">
        <f t="shared" si="2"/>
        <v>#DIV/0!</v>
      </c>
      <c r="K8" s="108" t="e">
        <f t="shared" si="3"/>
        <v>#DIV/0!</v>
      </c>
      <c r="L8" s="409">
        <f>Inputs!H8</f>
        <v>0</v>
      </c>
      <c r="M8" s="129">
        <f>Inputs!G8</f>
        <v>0</v>
      </c>
      <c r="Q8" s="131">
        <f t="shared" si="4"/>
        <v>0</v>
      </c>
      <c r="R8" s="131">
        <f aca="true" t="shared" si="9" ref="R8:Z8">IF(R$3&lt;=$L8,Q8*(1+$P$4),0)</f>
        <v>0</v>
      </c>
      <c r="S8" s="131">
        <f t="shared" si="9"/>
        <v>0</v>
      </c>
      <c r="T8" s="131">
        <f t="shared" si="9"/>
        <v>0</v>
      </c>
      <c r="U8" s="131">
        <f t="shared" si="9"/>
        <v>0</v>
      </c>
      <c r="V8" s="131">
        <f t="shared" si="9"/>
        <v>0</v>
      </c>
      <c r="W8" s="131">
        <f t="shared" si="9"/>
        <v>0</v>
      </c>
      <c r="X8" s="131">
        <f t="shared" si="9"/>
        <v>0</v>
      </c>
      <c r="Y8" s="131">
        <f t="shared" si="9"/>
        <v>0</v>
      </c>
      <c r="Z8" s="131">
        <f t="shared" si="9"/>
        <v>0</v>
      </c>
      <c r="AA8" s="131"/>
    </row>
    <row r="9" spans="1:27" ht="15.75" thickBot="1">
      <c r="A9" s="50">
        <v>6</v>
      </c>
      <c r="B9" s="408">
        <f>Inputs!B9</f>
        <v>0</v>
      </c>
      <c r="C9" s="408">
        <f>Inputs!C9</f>
        <v>0</v>
      </c>
      <c r="D9" s="129">
        <f>C9*' Summary'!J$22</f>
        <v>0</v>
      </c>
      <c r="E9" s="129">
        <f t="shared" si="0"/>
        <v>0</v>
      </c>
      <c r="F9" s="129">
        <f>Inputs!D9</f>
        <v>0</v>
      </c>
      <c r="G9" s="129">
        <f>Inputs!E9</f>
        <v>0</v>
      </c>
      <c r="H9" s="129">
        <f>Inputs!F9</f>
        <v>0</v>
      </c>
      <c r="I9" s="129">
        <f t="shared" si="1"/>
        <v>0</v>
      </c>
      <c r="J9" s="63" t="e">
        <f t="shared" si="2"/>
        <v>#DIV/0!</v>
      </c>
      <c r="K9" s="108" t="e">
        <f t="shared" si="3"/>
        <v>#DIV/0!</v>
      </c>
      <c r="L9" s="409">
        <f>Inputs!H9</f>
        <v>0</v>
      </c>
      <c r="M9" s="129">
        <f>Inputs!G9</f>
        <v>0</v>
      </c>
      <c r="Q9" s="131">
        <f t="shared" si="4"/>
        <v>0</v>
      </c>
      <c r="R9" s="131">
        <f aca="true" t="shared" si="10" ref="R9:Z9">IF(R$3&lt;=$L9,Q9*(1+$P$4),0)</f>
        <v>0</v>
      </c>
      <c r="S9" s="131">
        <f t="shared" si="10"/>
        <v>0</v>
      </c>
      <c r="T9" s="131">
        <f t="shared" si="10"/>
        <v>0</v>
      </c>
      <c r="U9" s="131">
        <f t="shared" si="10"/>
        <v>0</v>
      </c>
      <c r="V9" s="131">
        <f t="shared" si="10"/>
        <v>0</v>
      </c>
      <c r="W9" s="131">
        <f t="shared" si="10"/>
        <v>0</v>
      </c>
      <c r="X9" s="131">
        <f t="shared" si="10"/>
        <v>0</v>
      </c>
      <c r="Y9" s="131">
        <f t="shared" si="10"/>
        <v>0</v>
      </c>
      <c r="Z9" s="131">
        <f t="shared" si="10"/>
        <v>0</v>
      </c>
      <c r="AA9" s="131"/>
    </row>
    <row r="10" spans="1:27" ht="15.75" thickBot="1">
      <c r="A10" s="50">
        <v>7</v>
      </c>
      <c r="B10" s="408">
        <f>Inputs!B10</f>
        <v>0</v>
      </c>
      <c r="C10" s="408">
        <f>Inputs!C10</f>
        <v>0</v>
      </c>
      <c r="D10" s="129">
        <f>C10*' Summary'!J$22</f>
        <v>0</v>
      </c>
      <c r="E10" s="129">
        <f t="shared" si="0"/>
        <v>0</v>
      </c>
      <c r="F10" s="129">
        <f>Inputs!D10</f>
        <v>0</v>
      </c>
      <c r="G10" s="129">
        <f>Inputs!E10</f>
        <v>0</v>
      </c>
      <c r="H10" s="129">
        <f>Inputs!F10</f>
        <v>0</v>
      </c>
      <c r="I10" s="129">
        <f t="shared" si="1"/>
        <v>0</v>
      </c>
      <c r="J10" s="63" t="e">
        <f t="shared" si="2"/>
        <v>#DIV/0!</v>
      </c>
      <c r="K10" s="108" t="e">
        <f t="shared" si="3"/>
        <v>#DIV/0!</v>
      </c>
      <c r="L10" s="409">
        <f>Inputs!H10</f>
        <v>0</v>
      </c>
      <c r="M10" s="129">
        <f>Inputs!G10</f>
        <v>0</v>
      </c>
      <c r="Q10" s="131">
        <f t="shared" si="4"/>
        <v>0</v>
      </c>
      <c r="R10" s="131">
        <f aca="true" t="shared" si="11" ref="R10:Z10">IF(R$3&lt;=$L10,Q10*(1+$P$4),0)</f>
        <v>0</v>
      </c>
      <c r="S10" s="131">
        <f t="shared" si="11"/>
        <v>0</v>
      </c>
      <c r="T10" s="131">
        <f t="shared" si="11"/>
        <v>0</v>
      </c>
      <c r="U10" s="131">
        <f t="shared" si="11"/>
        <v>0</v>
      </c>
      <c r="V10" s="131">
        <f t="shared" si="11"/>
        <v>0</v>
      </c>
      <c r="W10" s="131">
        <f t="shared" si="11"/>
        <v>0</v>
      </c>
      <c r="X10" s="131">
        <f t="shared" si="11"/>
        <v>0</v>
      </c>
      <c r="Y10" s="131">
        <f t="shared" si="11"/>
        <v>0</v>
      </c>
      <c r="Z10" s="131">
        <f t="shared" si="11"/>
        <v>0</v>
      </c>
      <c r="AA10" s="131"/>
    </row>
    <row r="11" spans="1:27" ht="15.75" thickBot="1">
      <c r="A11" s="50">
        <v>8</v>
      </c>
      <c r="B11" s="408">
        <f>Inputs!B11</f>
        <v>0</v>
      </c>
      <c r="C11" s="408">
        <f>Inputs!C11</f>
        <v>0</v>
      </c>
      <c r="D11" s="129">
        <f>C11*' Summary'!J$22</f>
        <v>0</v>
      </c>
      <c r="E11" s="129">
        <f t="shared" si="0"/>
        <v>0</v>
      </c>
      <c r="F11" s="129">
        <f>Inputs!D11</f>
        <v>0</v>
      </c>
      <c r="G11" s="129">
        <f>Inputs!E11</f>
        <v>0</v>
      </c>
      <c r="H11" s="129">
        <f>Inputs!F11</f>
        <v>0</v>
      </c>
      <c r="I11" s="129">
        <f t="shared" si="1"/>
        <v>0</v>
      </c>
      <c r="J11" s="63" t="e">
        <f t="shared" si="2"/>
        <v>#DIV/0!</v>
      </c>
      <c r="K11" s="108" t="e">
        <f t="shared" si="3"/>
        <v>#DIV/0!</v>
      </c>
      <c r="L11" s="409">
        <f>Inputs!H11</f>
        <v>0</v>
      </c>
      <c r="M11" s="129">
        <f>Inputs!G11</f>
        <v>0</v>
      </c>
      <c r="Q11" s="131">
        <f t="shared" si="4"/>
        <v>0</v>
      </c>
      <c r="R11" s="131">
        <f aca="true" t="shared" si="12" ref="R11:Z11">IF(R$3&lt;=$L11,Q11*(1+$P$4),0)</f>
        <v>0</v>
      </c>
      <c r="S11" s="131">
        <f t="shared" si="12"/>
        <v>0</v>
      </c>
      <c r="T11" s="131">
        <f t="shared" si="12"/>
        <v>0</v>
      </c>
      <c r="U11" s="131">
        <f t="shared" si="12"/>
        <v>0</v>
      </c>
      <c r="V11" s="131">
        <f t="shared" si="12"/>
        <v>0</v>
      </c>
      <c r="W11" s="131">
        <f t="shared" si="12"/>
        <v>0</v>
      </c>
      <c r="X11" s="131">
        <f t="shared" si="12"/>
        <v>0</v>
      </c>
      <c r="Y11" s="131">
        <f t="shared" si="12"/>
        <v>0</v>
      </c>
      <c r="Z11" s="131">
        <f t="shared" si="12"/>
        <v>0</v>
      </c>
      <c r="AA11" s="131"/>
    </row>
    <row r="12" spans="1:27" ht="15.75" thickBot="1">
      <c r="A12" s="50">
        <v>9</v>
      </c>
      <c r="B12" s="408">
        <f>Inputs!B12</f>
        <v>0</v>
      </c>
      <c r="C12" s="408">
        <f>Inputs!C12</f>
        <v>0</v>
      </c>
      <c r="D12" s="129">
        <f>C12*' Summary'!J$22</f>
        <v>0</v>
      </c>
      <c r="E12" s="129">
        <f t="shared" si="0"/>
        <v>0</v>
      </c>
      <c r="F12" s="129">
        <f>Inputs!D12</f>
        <v>0</v>
      </c>
      <c r="G12" s="129">
        <f>Inputs!E12</f>
        <v>0</v>
      </c>
      <c r="H12" s="129">
        <f>Inputs!F12</f>
        <v>0</v>
      </c>
      <c r="I12" s="129">
        <f t="shared" si="1"/>
        <v>0</v>
      </c>
      <c r="J12" s="63" t="e">
        <f t="shared" si="2"/>
        <v>#DIV/0!</v>
      </c>
      <c r="K12" s="108" t="e">
        <f t="shared" si="3"/>
        <v>#DIV/0!</v>
      </c>
      <c r="L12" s="409">
        <f>Inputs!H12</f>
        <v>0</v>
      </c>
      <c r="M12" s="129">
        <f>Inputs!G12</f>
        <v>0</v>
      </c>
      <c r="Q12" s="131">
        <f t="shared" si="4"/>
        <v>0</v>
      </c>
      <c r="R12" s="131">
        <f aca="true" t="shared" si="13" ref="R12:Z12">IF(R$3&lt;=$L12,Q12*(1+$P$4),0)</f>
        <v>0</v>
      </c>
      <c r="S12" s="131">
        <f t="shared" si="13"/>
        <v>0</v>
      </c>
      <c r="T12" s="131">
        <f t="shared" si="13"/>
        <v>0</v>
      </c>
      <c r="U12" s="131">
        <f t="shared" si="13"/>
        <v>0</v>
      </c>
      <c r="V12" s="131">
        <f t="shared" si="13"/>
        <v>0</v>
      </c>
      <c r="W12" s="131">
        <f t="shared" si="13"/>
        <v>0</v>
      </c>
      <c r="X12" s="131">
        <f t="shared" si="13"/>
        <v>0</v>
      </c>
      <c r="Y12" s="131">
        <f t="shared" si="13"/>
        <v>0</v>
      </c>
      <c r="Z12" s="131">
        <f t="shared" si="13"/>
        <v>0</v>
      </c>
      <c r="AA12" s="131"/>
    </row>
    <row r="13" spans="1:27" ht="15.75" thickBot="1">
      <c r="A13" s="50">
        <v>10</v>
      </c>
      <c r="B13" s="408">
        <f>Inputs!B13</f>
        <v>0</v>
      </c>
      <c r="C13" s="408">
        <f>Inputs!C13</f>
        <v>0</v>
      </c>
      <c r="D13" s="129">
        <f>C13*' Summary'!J$22</f>
        <v>0</v>
      </c>
      <c r="E13" s="129">
        <f t="shared" si="0"/>
        <v>0</v>
      </c>
      <c r="F13" s="129">
        <f>Inputs!D13</f>
        <v>0</v>
      </c>
      <c r="G13" s="129">
        <f>Inputs!E13</f>
        <v>0</v>
      </c>
      <c r="H13" s="129">
        <f>Inputs!F13</f>
        <v>0</v>
      </c>
      <c r="I13" s="129">
        <f t="shared" si="1"/>
        <v>0</v>
      </c>
      <c r="J13" s="63" t="e">
        <f t="shared" si="2"/>
        <v>#DIV/0!</v>
      </c>
      <c r="K13" s="108" t="e">
        <f t="shared" si="3"/>
        <v>#DIV/0!</v>
      </c>
      <c r="L13" s="409">
        <f>Inputs!H13</f>
        <v>0</v>
      </c>
      <c r="M13" s="129">
        <f>Inputs!G13</f>
        <v>0</v>
      </c>
      <c r="Q13" s="131">
        <f t="shared" si="4"/>
        <v>0</v>
      </c>
      <c r="R13" s="131">
        <f aca="true" t="shared" si="14" ref="R13:Z13">IF(R$3&lt;=$L13,Q13*(1+$P$4),0)</f>
        <v>0</v>
      </c>
      <c r="S13" s="131">
        <f t="shared" si="14"/>
        <v>0</v>
      </c>
      <c r="T13" s="131">
        <f t="shared" si="14"/>
        <v>0</v>
      </c>
      <c r="U13" s="131">
        <f t="shared" si="14"/>
        <v>0</v>
      </c>
      <c r="V13" s="131">
        <f t="shared" si="14"/>
        <v>0</v>
      </c>
      <c r="W13" s="131">
        <f t="shared" si="14"/>
        <v>0</v>
      </c>
      <c r="X13" s="131">
        <f t="shared" si="14"/>
        <v>0</v>
      </c>
      <c r="Y13" s="131">
        <f t="shared" si="14"/>
        <v>0</v>
      </c>
      <c r="Z13" s="131">
        <f t="shared" si="14"/>
        <v>0</v>
      </c>
      <c r="AA13" s="131"/>
    </row>
    <row r="14" spans="1:27" ht="15.75" thickBot="1">
      <c r="A14" s="51" t="s">
        <v>53</v>
      </c>
      <c r="B14" s="52" t="s">
        <v>54</v>
      </c>
      <c r="C14" s="129">
        <f aca="true" t="shared" si="15" ref="C14:I14">SUM(C4:C13)</f>
        <v>350000</v>
      </c>
      <c r="D14" s="129">
        <f t="shared" si="15"/>
        <v>3500</v>
      </c>
      <c r="E14" s="129">
        <f t="shared" si="15"/>
        <v>353500</v>
      </c>
      <c r="F14" s="129">
        <f t="shared" si="15"/>
        <v>200000</v>
      </c>
      <c r="G14" s="129">
        <f t="shared" si="15"/>
        <v>5000</v>
      </c>
      <c r="H14" s="129">
        <f t="shared" si="15"/>
        <v>5000</v>
      </c>
      <c r="I14" s="130">
        <f t="shared" si="15"/>
        <v>210000</v>
      </c>
      <c r="J14" s="64">
        <f t="shared" si="2"/>
        <v>1.6833333333333333</v>
      </c>
      <c r="K14" s="108">
        <f t="shared" si="3"/>
        <v>0.594059405940594</v>
      </c>
      <c r="L14" s="112">
        <f>SUM(L4:L13)</f>
        <v>10</v>
      </c>
      <c r="M14" s="129">
        <f>SUM(M4:M13)</f>
        <v>5000</v>
      </c>
      <c r="Q14" s="131">
        <f>SUM(Q4:Q13)</f>
        <v>200000</v>
      </c>
      <c r="R14" s="131">
        <f>SUM(R4:R13)</f>
        <v>202000</v>
      </c>
      <c r="S14" s="131">
        <f aca="true" t="shared" si="16" ref="S14:Z14">SUM(S4:S13)</f>
        <v>204020</v>
      </c>
      <c r="T14" s="131">
        <f t="shared" si="16"/>
        <v>206060.2</v>
      </c>
      <c r="U14" s="131">
        <f t="shared" si="16"/>
        <v>208120.80200000003</v>
      </c>
      <c r="V14" s="131">
        <f t="shared" si="16"/>
        <v>210202.01002000002</v>
      </c>
      <c r="W14" s="131">
        <f t="shared" si="16"/>
        <v>212304.0301202</v>
      </c>
      <c r="X14" s="131">
        <f t="shared" si="16"/>
        <v>214427.07042140202</v>
      </c>
      <c r="Y14" s="131">
        <f t="shared" si="16"/>
        <v>216571.34112561605</v>
      </c>
      <c r="Z14" s="131">
        <f t="shared" si="16"/>
        <v>218737.05453687222</v>
      </c>
      <c r="AA14" s="131"/>
    </row>
    <row r="15" spans="1:27" ht="15">
      <c r="A15" s="43"/>
      <c r="B15" s="43"/>
      <c r="C15" s="131"/>
      <c r="D15" s="131"/>
      <c r="E15" s="131"/>
      <c r="F15" s="131"/>
      <c r="G15" s="131"/>
      <c r="H15" s="131"/>
      <c r="I15" s="131"/>
      <c r="Q15" s="131"/>
      <c r="R15" s="131"/>
      <c r="S15" s="131"/>
      <c r="T15" s="131"/>
      <c r="U15" s="131"/>
      <c r="V15" s="131"/>
      <c r="W15" s="131"/>
      <c r="X15" s="131"/>
      <c r="Y15" s="131"/>
      <c r="Z15" s="131"/>
      <c r="AA15" s="131"/>
    </row>
    <row r="16" spans="3:27" ht="15">
      <c r="C16" s="131"/>
      <c r="D16" s="131"/>
      <c r="Q16" s="131" t="s">
        <v>64</v>
      </c>
      <c r="R16" s="131"/>
      <c r="S16" s="131"/>
      <c r="T16" s="131"/>
      <c r="U16" s="131"/>
      <c r="V16" s="131"/>
      <c r="W16" s="131"/>
      <c r="X16" s="131"/>
      <c r="Y16" s="131"/>
      <c r="Z16" s="131"/>
      <c r="AA16" s="131"/>
    </row>
    <row r="17" spans="9:27" ht="15">
      <c r="I17" s="111" t="s">
        <v>216</v>
      </c>
      <c r="P17" s="41">
        <f>' Summary'!J16</f>
        <v>0.01</v>
      </c>
      <c r="Q17" s="131">
        <f aca="true" t="shared" si="17" ref="Q17:Q26">IF(Q$3&lt;=$L4,$G4,0)</f>
        <v>5000</v>
      </c>
      <c r="R17" s="131">
        <f aca="true" t="shared" si="18" ref="R17:Z17">IF(R$3&lt;=$L4,Q17*(1+$P$17),0)</f>
        <v>5050</v>
      </c>
      <c r="S17" s="131">
        <f t="shared" si="18"/>
        <v>5100.5</v>
      </c>
      <c r="T17" s="131">
        <f t="shared" si="18"/>
        <v>5151.505</v>
      </c>
      <c r="U17" s="131">
        <f t="shared" si="18"/>
        <v>5203.02005</v>
      </c>
      <c r="V17" s="131">
        <f t="shared" si="18"/>
        <v>5255.0502505</v>
      </c>
      <c r="W17" s="131">
        <f t="shared" si="18"/>
        <v>5307.600753005</v>
      </c>
      <c r="X17" s="131">
        <f t="shared" si="18"/>
        <v>5360.676760535051</v>
      </c>
      <c r="Y17" s="131">
        <f t="shared" si="18"/>
        <v>5414.283528140401</v>
      </c>
      <c r="Z17" s="131">
        <f t="shared" si="18"/>
        <v>5468.426363421805</v>
      </c>
      <c r="AA17" s="131"/>
    </row>
    <row r="18" spans="7:27" ht="15">
      <c r="G18" s="56"/>
      <c r="H18" s="56"/>
      <c r="I18" s="109" t="s">
        <v>212</v>
      </c>
      <c r="J18" s="114">
        <f>'Customer Output'!D11/Measures!I14</f>
        <v>2.171865238095238</v>
      </c>
      <c r="Q18" s="131">
        <f t="shared" si="17"/>
        <v>0</v>
      </c>
      <c r="R18" s="131">
        <f aca="true" t="shared" si="19" ref="R18:Z18">IF(R$3&lt;=$L5,Q18*(1+$P$17),0)</f>
        <v>0</v>
      </c>
      <c r="S18" s="131">
        <f t="shared" si="19"/>
        <v>0</v>
      </c>
      <c r="T18" s="131">
        <f t="shared" si="19"/>
        <v>0</v>
      </c>
      <c r="U18" s="131">
        <f t="shared" si="19"/>
        <v>0</v>
      </c>
      <c r="V18" s="131">
        <f t="shared" si="19"/>
        <v>0</v>
      </c>
      <c r="W18" s="131">
        <f t="shared" si="19"/>
        <v>0</v>
      </c>
      <c r="X18" s="131">
        <f t="shared" si="19"/>
        <v>0</v>
      </c>
      <c r="Y18" s="131">
        <f t="shared" si="19"/>
        <v>0</v>
      </c>
      <c r="Z18" s="131">
        <f t="shared" si="19"/>
        <v>0</v>
      </c>
      <c r="AA18" s="131"/>
    </row>
    <row r="19" spans="7:27" ht="15">
      <c r="G19" s="110"/>
      <c r="H19" s="56"/>
      <c r="I19" s="109" t="s">
        <v>213</v>
      </c>
      <c r="J19" s="113">
        <f>AB70</f>
        <v>0.5072103258808672</v>
      </c>
      <c r="Q19" s="131">
        <f t="shared" si="17"/>
        <v>0</v>
      </c>
      <c r="R19" s="131">
        <f aca="true" t="shared" si="20" ref="R19:Z19">IF(R$3&lt;=$L6,Q19*(1+$P$17),0)</f>
        <v>0</v>
      </c>
      <c r="S19" s="131">
        <f t="shared" si="20"/>
        <v>0</v>
      </c>
      <c r="T19" s="131">
        <f t="shared" si="20"/>
        <v>0</v>
      </c>
      <c r="U19" s="131">
        <f t="shared" si="20"/>
        <v>0</v>
      </c>
      <c r="V19" s="131">
        <f t="shared" si="20"/>
        <v>0</v>
      </c>
      <c r="W19" s="131">
        <f t="shared" si="20"/>
        <v>0</v>
      </c>
      <c r="X19" s="131">
        <f t="shared" si="20"/>
        <v>0</v>
      </c>
      <c r="Y19" s="131">
        <f t="shared" si="20"/>
        <v>0</v>
      </c>
      <c r="Z19" s="131">
        <f t="shared" si="20"/>
        <v>0</v>
      </c>
      <c r="AA19" s="131"/>
    </row>
    <row r="20" spans="5:27" ht="15">
      <c r="E20" s="101"/>
      <c r="F20" s="101"/>
      <c r="G20" s="56"/>
      <c r="H20" s="56"/>
      <c r="I20" s="56" t="s">
        <v>220</v>
      </c>
      <c r="J20" s="116">
        <f>P71</f>
        <v>1782419.9336352947</v>
      </c>
      <c r="K20" s="103"/>
      <c r="Q20" s="131">
        <f t="shared" si="17"/>
        <v>0</v>
      </c>
      <c r="R20" s="131">
        <f aca="true" t="shared" si="21" ref="R20:Z20">IF(R$3&lt;=$L7,Q20*(1+$P$17),0)</f>
        <v>0</v>
      </c>
      <c r="S20" s="131">
        <f t="shared" si="21"/>
        <v>0</v>
      </c>
      <c r="T20" s="131">
        <f t="shared" si="21"/>
        <v>0</v>
      </c>
      <c r="U20" s="131">
        <f t="shared" si="21"/>
        <v>0</v>
      </c>
      <c r="V20" s="131">
        <f t="shared" si="21"/>
        <v>0</v>
      </c>
      <c r="W20" s="131">
        <f t="shared" si="21"/>
        <v>0</v>
      </c>
      <c r="X20" s="131">
        <f t="shared" si="21"/>
        <v>0</v>
      </c>
      <c r="Y20" s="131">
        <f t="shared" si="21"/>
        <v>0</v>
      </c>
      <c r="Z20" s="131">
        <f t="shared" si="21"/>
        <v>0</v>
      </c>
      <c r="AA20" s="131"/>
    </row>
    <row r="21" spans="17:27" ht="15">
      <c r="Q21" s="131">
        <f t="shared" si="17"/>
        <v>0</v>
      </c>
      <c r="R21" s="131">
        <f aca="true" t="shared" si="22" ref="R21:Z21">IF(R$3&lt;=$L8,Q21*(1+$P$17),0)</f>
        <v>0</v>
      </c>
      <c r="S21" s="131">
        <f t="shared" si="22"/>
        <v>0</v>
      </c>
      <c r="T21" s="131">
        <f t="shared" si="22"/>
        <v>0</v>
      </c>
      <c r="U21" s="131">
        <f t="shared" si="22"/>
        <v>0</v>
      </c>
      <c r="V21" s="131">
        <f t="shared" si="22"/>
        <v>0</v>
      </c>
      <c r="W21" s="131">
        <f t="shared" si="22"/>
        <v>0</v>
      </c>
      <c r="X21" s="131">
        <f t="shared" si="22"/>
        <v>0</v>
      </c>
      <c r="Y21" s="131">
        <f t="shared" si="22"/>
        <v>0</v>
      </c>
      <c r="Z21" s="131">
        <f t="shared" si="22"/>
        <v>0</v>
      </c>
      <c r="AA21" s="131"/>
    </row>
    <row r="22" spans="5:27" ht="15">
      <c r="E22" s="117"/>
      <c r="K22" s="102"/>
      <c r="Q22" s="131">
        <f t="shared" si="17"/>
        <v>0</v>
      </c>
      <c r="R22" s="131">
        <f aca="true" t="shared" si="23" ref="R22:Z22">IF(R$3&lt;=$L9,Q22*(1+$P$17),0)</f>
        <v>0</v>
      </c>
      <c r="S22" s="131">
        <f t="shared" si="23"/>
        <v>0</v>
      </c>
      <c r="T22" s="131">
        <f t="shared" si="23"/>
        <v>0</v>
      </c>
      <c r="U22" s="131">
        <f t="shared" si="23"/>
        <v>0</v>
      </c>
      <c r="V22" s="131">
        <f t="shared" si="23"/>
        <v>0</v>
      </c>
      <c r="W22" s="131">
        <f t="shared" si="23"/>
        <v>0</v>
      </c>
      <c r="X22" s="131">
        <f t="shared" si="23"/>
        <v>0</v>
      </c>
      <c r="Y22" s="131">
        <f t="shared" si="23"/>
        <v>0</v>
      </c>
      <c r="Z22" s="131">
        <f t="shared" si="23"/>
        <v>0</v>
      </c>
      <c r="AA22" s="131"/>
    </row>
    <row r="23" spans="17:27" ht="15">
      <c r="Q23" s="131">
        <f t="shared" si="17"/>
        <v>0</v>
      </c>
      <c r="R23" s="131">
        <f aca="true" t="shared" si="24" ref="R23:Z23">IF(R$3&lt;=$L10,Q23*(1+$P$17),0)</f>
        <v>0</v>
      </c>
      <c r="S23" s="131">
        <f t="shared" si="24"/>
        <v>0</v>
      </c>
      <c r="T23" s="131">
        <f t="shared" si="24"/>
        <v>0</v>
      </c>
      <c r="U23" s="131">
        <f t="shared" si="24"/>
        <v>0</v>
      </c>
      <c r="V23" s="131">
        <f t="shared" si="24"/>
        <v>0</v>
      </c>
      <c r="W23" s="131">
        <f t="shared" si="24"/>
        <v>0</v>
      </c>
      <c r="X23" s="131">
        <f t="shared" si="24"/>
        <v>0</v>
      </c>
      <c r="Y23" s="131">
        <f t="shared" si="24"/>
        <v>0</v>
      </c>
      <c r="Z23" s="131">
        <f t="shared" si="24"/>
        <v>0</v>
      </c>
      <c r="AA23" s="131"/>
    </row>
    <row r="24" spans="17:27" ht="15">
      <c r="Q24" s="131">
        <f t="shared" si="17"/>
        <v>0</v>
      </c>
      <c r="R24" s="131">
        <f aca="true" t="shared" si="25" ref="R24:Z24">IF(R$3&lt;=$L11,Q24*(1+$P$17),0)</f>
        <v>0</v>
      </c>
      <c r="S24" s="131">
        <f t="shared" si="25"/>
        <v>0</v>
      </c>
      <c r="T24" s="131">
        <f t="shared" si="25"/>
        <v>0</v>
      </c>
      <c r="U24" s="131">
        <f t="shared" si="25"/>
        <v>0</v>
      </c>
      <c r="V24" s="131">
        <f t="shared" si="25"/>
        <v>0</v>
      </c>
      <c r="W24" s="131">
        <f t="shared" si="25"/>
        <v>0</v>
      </c>
      <c r="X24" s="131">
        <f t="shared" si="25"/>
        <v>0</v>
      </c>
      <c r="Y24" s="131">
        <f t="shared" si="25"/>
        <v>0</v>
      </c>
      <c r="Z24" s="131">
        <f t="shared" si="25"/>
        <v>0</v>
      </c>
      <c r="AA24" s="131"/>
    </row>
    <row r="25" spans="17:27" ht="15">
      <c r="Q25" s="131">
        <f t="shared" si="17"/>
        <v>0</v>
      </c>
      <c r="R25" s="131">
        <f aca="true" t="shared" si="26" ref="R25:Z25">IF(R$3&lt;=$L12,Q25*(1+$P$17),0)</f>
        <v>0</v>
      </c>
      <c r="S25" s="131">
        <f t="shared" si="26"/>
        <v>0</v>
      </c>
      <c r="T25" s="131">
        <f t="shared" si="26"/>
        <v>0</v>
      </c>
      <c r="U25" s="131">
        <f t="shared" si="26"/>
        <v>0</v>
      </c>
      <c r="V25" s="131">
        <f t="shared" si="26"/>
        <v>0</v>
      </c>
      <c r="W25" s="131">
        <f t="shared" si="26"/>
        <v>0</v>
      </c>
      <c r="X25" s="131">
        <f t="shared" si="26"/>
        <v>0</v>
      </c>
      <c r="Y25" s="131">
        <f t="shared" si="26"/>
        <v>0</v>
      </c>
      <c r="Z25" s="131">
        <f t="shared" si="26"/>
        <v>0</v>
      </c>
      <c r="AA25" s="131"/>
    </row>
    <row r="26" spans="17:27" ht="15">
      <c r="Q26" s="131">
        <f t="shared" si="17"/>
        <v>0</v>
      </c>
      <c r="R26" s="131">
        <f aca="true" t="shared" si="27" ref="R26:Z26">IF(R$3&lt;=$L13,Q26*(1+$P$17),0)</f>
        <v>0</v>
      </c>
      <c r="S26" s="131">
        <f t="shared" si="27"/>
        <v>0</v>
      </c>
      <c r="T26" s="131">
        <f t="shared" si="27"/>
        <v>0</v>
      </c>
      <c r="U26" s="131">
        <f t="shared" si="27"/>
        <v>0</v>
      </c>
      <c r="V26" s="131">
        <f t="shared" si="27"/>
        <v>0</v>
      </c>
      <c r="W26" s="131">
        <f t="shared" si="27"/>
        <v>0</v>
      </c>
      <c r="X26" s="131">
        <f t="shared" si="27"/>
        <v>0</v>
      </c>
      <c r="Y26" s="131">
        <f t="shared" si="27"/>
        <v>0</v>
      </c>
      <c r="Z26" s="131">
        <f t="shared" si="27"/>
        <v>0</v>
      </c>
      <c r="AA26" s="131"/>
    </row>
    <row r="27" spans="17:27" ht="15">
      <c r="Q27" s="131">
        <f>SUM(Q17:Q26)</f>
        <v>5000</v>
      </c>
      <c r="R27" s="131">
        <f aca="true" t="shared" si="28" ref="R27:Z27">SUM(R17:R26)</f>
        <v>5050</v>
      </c>
      <c r="S27" s="131">
        <f t="shared" si="28"/>
        <v>5100.5</v>
      </c>
      <c r="T27" s="131">
        <f t="shared" si="28"/>
        <v>5151.505</v>
      </c>
      <c r="U27" s="131">
        <f t="shared" si="28"/>
        <v>5203.02005</v>
      </c>
      <c r="V27" s="131">
        <f t="shared" si="28"/>
        <v>5255.0502505</v>
      </c>
      <c r="W27" s="131">
        <f t="shared" si="28"/>
        <v>5307.600753005</v>
      </c>
      <c r="X27" s="131">
        <f t="shared" si="28"/>
        <v>5360.676760535051</v>
      </c>
      <c r="Y27" s="131">
        <f t="shared" si="28"/>
        <v>5414.283528140401</v>
      </c>
      <c r="Z27" s="131">
        <f t="shared" si="28"/>
        <v>5468.426363421805</v>
      </c>
      <c r="AA27" s="131"/>
    </row>
    <row r="28" spans="17:27" ht="15">
      <c r="Q28" s="131"/>
      <c r="R28" s="131"/>
      <c r="S28" s="131"/>
      <c r="T28" s="131"/>
      <c r="U28" s="131"/>
      <c r="V28" s="131"/>
      <c r="W28" s="131"/>
      <c r="X28" s="131"/>
      <c r="Y28" s="131"/>
      <c r="Z28" s="131"/>
      <c r="AA28" s="131"/>
    </row>
    <row r="29" spans="17:27" ht="15">
      <c r="Q29" s="131"/>
      <c r="R29" s="131"/>
      <c r="S29" s="131"/>
      <c r="T29" s="131"/>
      <c r="U29" s="131"/>
      <c r="V29" s="131"/>
      <c r="W29" s="131"/>
      <c r="X29" s="131"/>
      <c r="Y29" s="131"/>
      <c r="Z29" s="131"/>
      <c r="AA29" s="131"/>
    </row>
    <row r="30" spans="17:27" ht="15">
      <c r="Q30" s="131" t="s">
        <v>67</v>
      </c>
      <c r="R30" s="131"/>
      <c r="S30" s="131"/>
      <c r="T30" s="131"/>
      <c r="U30" s="131"/>
      <c r="V30" s="131"/>
      <c r="W30" s="131"/>
      <c r="X30" s="131"/>
      <c r="Y30" s="131"/>
      <c r="Z30" s="131"/>
      <c r="AA30" s="131"/>
    </row>
    <row r="31" spans="16:27" ht="15">
      <c r="P31" s="41">
        <f>' Summary'!J17</f>
        <v>0.01</v>
      </c>
      <c r="Q31" s="131">
        <f aca="true" t="shared" si="29" ref="Q31:Q40">IF(Q$3&lt;=$L4,$H4,0)</f>
        <v>5000</v>
      </c>
      <c r="R31" s="131">
        <f aca="true" t="shared" si="30" ref="R31:Z31">IF(R$3&lt;=$L4,Q31*(1+$P$31),0)</f>
        <v>5050</v>
      </c>
      <c r="S31" s="131">
        <f t="shared" si="30"/>
        <v>5100.5</v>
      </c>
      <c r="T31" s="131">
        <f t="shared" si="30"/>
        <v>5151.505</v>
      </c>
      <c r="U31" s="131">
        <f t="shared" si="30"/>
        <v>5203.02005</v>
      </c>
      <c r="V31" s="131">
        <f t="shared" si="30"/>
        <v>5255.0502505</v>
      </c>
      <c r="W31" s="131">
        <f t="shared" si="30"/>
        <v>5307.600753005</v>
      </c>
      <c r="X31" s="131">
        <f t="shared" si="30"/>
        <v>5360.676760535051</v>
      </c>
      <c r="Y31" s="131">
        <f t="shared" si="30"/>
        <v>5414.283528140401</v>
      </c>
      <c r="Z31" s="131">
        <f t="shared" si="30"/>
        <v>5468.426363421805</v>
      </c>
      <c r="AA31" s="131"/>
    </row>
    <row r="32" spans="17:27" ht="15">
      <c r="Q32" s="131">
        <f t="shared" si="29"/>
        <v>0</v>
      </c>
      <c r="R32" s="131">
        <f aca="true" t="shared" si="31" ref="R32:Z32">IF(R$3&lt;=$L5,Q32*(1+$P$31),0)</f>
        <v>0</v>
      </c>
      <c r="S32" s="131">
        <f t="shared" si="31"/>
        <v>0</v>
      </c>
      <c r="T32" s="131">
        <f t="shared" si="31"/>
        <v>0</v>
      </c>
      <c r="U32" s="131">
        <f t="shared" si="31"/>
        <v>0</v>
      </c>
      <c r="V32" s="131">
        <f t="shared" si="31"/>
        <v>0</v>
      </c>
      <c r="W32" s="131">
        <f t="shared" si="31"/>
        <v>0</v>
      </c>
      <c r="X32" s="131">
        <f t="shared" si="31"/>
        <v>0</v>
      </c>
      <c r="Y32" s="131">
        <f t="shared" si="31"/>
        <v>0</v>
      </c>
      <c r="Z32" s="131">
        <f t="shared" si="31"/>
        <v>0</v>
      </c>
      <c r="AA32" s="131"/>
    </row>
    <row r="33" spans="17:27" ht="15">
      <c r="Q33" s="131">
        <f t="shared" si="29"/>
        <v>0</v>
      </c>
      <c r="R33" s="131">
        <f aca="true" t="shared" si="32" ref="R33:Z33">IF(R$3&lt;=$L6,Q33*(1+$P$31),0)</f>
        <v>0</v>
      </c>
      <c r="S33" s="131">
        <f t="shared" si="32"/>
        <v>0</v>
      </c>
      <c r="T33" s="131">
        <f t="shared" si="32"/>
        <v>0</v>
      </c>
      <c r="U33" s="131">
        <f t="shared" si="32"/>
        <v>0</v>
      </c>
      <c r="V33" s="131">
        <f t="shared" si="32"/>
        <v>0</v>
      </c>
      <c r="W33" s="131">
        <f t="shared" si="32"/>
        <v>0</v>
      </c>
      <c r="X33" s="131">
        <f t="shared" si="32"/>
        <v>0</v>
      </c>
      <c r="Y33" s="131">
        <f t="shared" si="32"/>
        <v>0</v>
      </c>
      <c r="Z33" s="131">
        <f t="shared" si="32"/>
        <v>0</v>
      </c>
      <c r="AA33" s="131"/>
    </row>
    <row r="34" spans="17:27" ht="15">
      <c r="Q34" s="131">
        <f t="shared" si="29"/>
        <v>0</v>
      </c>
      <c r="R34" s="131">
        <f aca="true" t="shared" si="33" ref="R34:Z34">IF(R$3&lt;=$L7,Q34*(1+$P$31),0)</f>
        <v>0</v>
      </c>
      <c r="S34" s="131">
        <f t="shared" si="33"/>
        <v>0</v>
      </c>
      <c r="T34" s="131">
        <f t="shared" si="33"/>
        <v>0</v>
      </c>
      <c r="U34" s="131">
        <f t="shared" si="33"/>
        <v>0</v>
      </c>
      <c r="V34" s="131">
        <f t="shared" si="33"/>
        <v>0</v>
      </c>
      <c r="W34" s="131">
        <f t="shared" si="33"/>
        <v>0</v>
      </c>
      <c r="X34" s="131">
        <f t="shared" si="33"/>
        <v>0</v>
      </c>
      <c r="Y34" s="131">
        <f t="shared" si="33"/>
        <v>0</v>
      </c>
      <c r="Z34" s="131">
        <f t="shared" si="33"/>
        <v>0</v>
      </c>
      <c r="AA34" s="131"/>
    </row>
    <row r="35" spans="17:27" ht="15">
      <c r="Q35" s="131">
        <f t="shared" si="29"/>
        <v>0</v>
      </c>
      <c r="R35" s="131">
        <f aca="true" t="shared" si="34" ref="R35:Z35">IF(R$3&lt;=$L8,Q35*(1+$P$31),0)</f>
        <v>0</v>
      </c>
      <c r="S35" s="131">
        <f t="shared" si="34"/>
        <v>0</v>
      </c>
      <c r="T35" s="131">
        <f t="shared" si="34"/>
        <v>0</v>
      </c>
      <c r="U35" s="131">
        <f t="shared" si="34"/>
        <v>0</v>
      </c>
      <c r="V35" s="131">
        <f t="shared" si="34"/>
        <v>0</v>
      </c>
      <c r="W35" s="131">
        <f t="shared" si="34"/>
        <v>0</v>
      </c>
      <c r="X35" s="131">
        <f t="shared" si="34"/>
        <v>0</v>
      </c>
      <c r="Y35" s="131">
        <f t="shared" si="34"/>
        <v>0</v>
      </c>
      <c r="Z35" s="131">
        <f t="shared" si="34"/>
        <v>0</v>
      </c>
      <c r="AA35" s="131"/>
    </row>
    <row r="36" spans="17:27" ht="15">
      <c r="Q36" s="131">
        <f t="shared" si="29"/>
        <v>0</v>
      </c>
      <c r="R36" s="131">
        <f aca="true" t="shared" si="35" ref="R36:Z36">IF(R$3&lt;=$L9,Q36*(1+$P$31),0)</f>
        <v>0</v>
      </c>
      <c r="S36" s="131">
        <f t="shared" si="35"/>
        <v>0</v>
      </c>
      <c r="T36" s="131">
        <f t="shared" si="35"/>
        <v>0</v>
      </c>
      <c r="U36" s="131">
        <f t="shared" si="35"/>
        <v>0</v>
      </c>
      <c r="V36" s="131">
        <f t="shared" si="35"/>
        <v>0</v>
      </c>
      <c r="W36" s="131">
        <f t="shared" si="35"/>
        <v>0</v>
      </c>
      <c r="X36" s="131">
        <f t="shared" si="35"/>
        <v>0</v>
      </c>
      <c r="Y36" s="131">
        <f t="shared" si="35"/>
        <v>0</v>
      </c>
      <c r="Z36" s="131">
        <f t="shared" si="35"/>
        <v>0</v>
      </c>
      <c r="AA36" s="131"/>
    </row>
    <row r="37" spans="17:27" ht="15">
      <c r="Q37" s="131">
        <f t="shared" si="29"/>
        <v>0</v>
      </c>
      <c r="R37" s="131">
        <f aca="true" t="shared" si="36" ref="R37:Z37">IF(R$3&lt;=$L10,Q37*(1+$P$31),0)</f>
        <v>0</v>
      </c>
      <c r="S37" s="131">
        <f t="shared" si="36"/>
        <v>0</v>
      </c>
      <c r="T37" s="131">
        <f t="shared" si="36"/>
        <v>0</v>
      </c>
      <c r="U37" s="131">
        <f t="shared" si="36"/>
        <v>0</v>
      </c>
      <c r="V37" s="131">
        <f t="shared" si="36"/>
        <v>0</v>
      </c>
      <c r="W37" s="131">
        <f t="shared" si="36"/>
        <v>0</v>
      </c>
      <c r="X37" s="131">
        <f t="shared" si="36"/>
        <v>0</v>
      </c>
      <c r="Y37" s="131">
        <f t="shared" si="36"/>
        <v>0</v>
      </c>
      <c r="Z37" s="131">
        <f t="shared" si="36"/>
        <v>0</v>
      </c>
      <c r="AA37" s="131"/>
    </row>
    <row r="38" spans="17:27" ht="15">
      <c r="Q38" s="131">
        <f t="shared" si="29"/>
        <v>0</v>
      </c>
      <c r="R38" s="131">
        <f aca="true" t="shared" si="37" ref="R38:Z38">IF(R$3&lt;=$L11,Q38*(1+$P$31),0)</f>
        <v>0</v>
      </c>
      <c r="S38" s="131">
        <f t="shared" si="37"/>
        <v>0</v>
      </c>
      <c r="T38" s="131">
        <f t="shared" si="37"/>
        <v>0</v>
      </c>
      <c r="U38" s="131">
        <f t="shared" si="37"/>
        <v>0</v>
      </c>
      <c r="V38" s="131">
        <f t="shared" si="37"/>
        <v>0</v>
      </c>
      <c r="W38" s="131">
        <f t="shared" si="37"/>
        <v>0</v>
      </c>
      <c r="X38" s="131">
        <f t="shared" si="37"/>
        <v>0</v>
      </c>
      <c r="Y38" s="131">
        <f t="shared" si="37"/>
        <v>0</v>
      </c>
      <c r="Z38" s="131">
        <f t="shared" si="37"/>
        <v>0</v>
      </c>
      <c r="AA38" s="131"/>
    </row>
    <row r="39" spans="17:27" ht="15">
      <c r="Q39" s="131">
        <f t="shared" si="29"/>
        <v>0</v>
      </c>
      <c r="R39" s="131">
        <f aca="true" t="shared" si="38" ref="R39:Z39">IF(R$3&lt;=$L12,Q39*(1+$P$31),0)</f>
        <v>0</v>
      </c>
      <c r="S39" s="131">
        <f t="shared" si="38"/>
        <v>0</v>
      </c>
      <c r="T39" s="131">
        <f t="shared" si="38"/>
        <v>0</v>
      </c>
      <c r="U39" s="131">
        <f t="shared" si="38"/>
        <v>0</v>
      </c>
      <c r="V39" s="131">
        <f t="shared" si="38"/>
        <v>0</v>
      </c>
      <c r="W39" s="131">
        <f t="shared" si="38"/>
        <v>0</v>
      </c>
      <c r="X39" s="131">
        <f t="shared" si="38"/>
        <v>0</v>
      </c>
      <c r="Y39" s="131">
        <f t="shared" si="38"/>
        <v>0</v>
      </c>
      <c r="Z39" s="131">
        <f t="shared" si="38"/>
        <v>0</v>
      </c>
      <c r="AA39" s="131"/>
    </row>
    <row r="40" spans="17:27" ht="15">
      <c r="Q40" s="131">
        <f t="shared" si="29"/>
        <v>0</v>
      </c>
      <c r="R40" s="131">
        <f aca="true" t="shared" si="39" ref="R40:Z40">IF(R$3&lt;=$L13,Q40*(1+$P$31),0)</f>
        <v>0</v>
      </c>
      <c r="S40" s="131">
        <f t="shared" si="39"/>
        <v>0</v>
      </c>
      <c r="T40" s="131">
        <f t="shared" si="39"/>
        <v>0</v>
      </c>
      <c r="U40" s="131">
        <f t="shared" si="39"/>
        <v>0</v>
      </c>
      <c r="V40" s="131">
        <f t="shared" si="39"/>
        <v>0</v>
      </c>
      <c r="W40" s="131">
        <f t="shared" si="39"/>
        <v>0</v>
      </c>
      <c r="X40" s="131">
        <f t="shared" si="39"/>
        <v>0</v>
      </c>
      <c r="Y40" s="131">
        <f t="shared" si="39"/>
        <v>0</v>
      </c>
      <c r="Z40" s="131">
        <f t="shared" si="39"/>
        <v>0</v>
      </c>
      <c r="AA40" s="131"/>
    </row>
    <row r="41" spans="17:27" ht="15">
      <c r="Q41" s="131">
        <f>SUM(Q31:Q40)</f>
        <v>5000</v>
      </c>
      <c r="R41" s="131">
        <f aca="true" t="shared" si="40" ref="R41:Z41">SUM(R31:R40)</f>
        <v>5050</v>
      </c>
      <c r="S41" s="131">
        <f t="shared" si="40"/>
        <v>5100.5</v>
      </c>
      <c r="T41" s="131">
        <f t="shared" si="40"/>
        <v>5151.505</v>
      </c>
      <c r="U41" s="131">
        <f t="shared" si="40"/>
        <v>5203.02005</v>
      </c>
      <c r="V41" s="131">
        <f t="shared" si="40"/>
        <v>5255.0502505</v>
      </c>
      <c r="W41" s="131">
        <f t="shared" si="40"/>
        <v>5307.600753005</v>
      </c>
      <c r="X41" s="131">
        <f t="shared" si="40"/>
        <v>5360.676760535051</v>
      </c>
      <c r="Y41" s="131">
        <f t="shared" si="40"/>
        <v>5414.283528140401</v>
      </c>
      <c r="Z41" s="131">
        <f t="shared" si="40"/>
        <v>5468.426363421805</v>
      </c>
      <c r="AA41" s="131"/>
    </row>
    <row r="42" spans="17:27" ht="15">
      <c r="Q42" s="131"/>
      <c r="R42" s="131"/>
      <c r="S42" s="131"/>
      <c r="T42" s="131"/>
      <c r="U42" s="131"/>
      <c r="V42" s="131"/>
      <c r="W42" s="131"/>
      <c r="X42" s="131"/>
      <c r="Y42" s="131"/>
      <c r="Z42" s="131"/>
      <c r="AA42" s="131"/>
    </row>
    <row r="43" spans="17:27" ht="15">
      <c r="Q43" s="131"/>
      <c r="R43" s="131"/>
      <c r="S43" s="131"/>
      <c r="T43" s="131"/>
      <c r="U43" s="131"/>
      <c r="V43" s="131"/>
      <c r="W43" s="131"/>
      <c r="X43" s="131"/>
      <c r="Y43" s="131"/>
      <c r="Z43" s="131"/>
      <c r="AA43" s="131"/>
    </row>
    <row r="44" spans="16:27" ht="15">
      <c r="P44" s="41" t="s">
        <v>209</v>
      </c>
      <c r="Q44" s="131" t="s">
        <v>208</v>
      </c>
      <c r="R44" s="131"/>
      <c r="S44" s="131"/>
      <c r="T44" s="131"/>
      <c r="U44" s="131"/>
      <c r="V44" s="131"/>
      <c r="W44" s="131"/>
      <c r="X44" s="131"/>
      <c r="Y44" s="131"/>
      <c r="Z44" s="131"/>
      <c r="AA44" s="131"/>
    </row>
    <row r="45" spans="16:27" ht="15">
      <c r="P45" s="41">
        <v>1</v>
      </c>
      <c r="Q45" s="131">
        <f aca="true" t="shared" si="41" ref="Q45:X45">Q4+Q17+Q31</f>
        <v>210000</v>
      </c>
      <c r="R45" s="131">
        <f t="shared" si="41"/>
        <v>212100</v>
      </c>
      <c r="S45" s="131">
        <f t="shared" si="41"/>
        <v>214221</v>
      </c>
      <c r="T45" s="131">
        <f t="shared" si="41"/>
        <v>216363.21000000002</v>
      </c>
      <c r="U45" s="131">
        <f t="shared" si="41"/>
        <v>218526.8421</v>
      </c>
      <c r="V45" s="131">
        <f t="shared" si="41"/>
        <v>220712.11052100002</v>
      </c>
      <c r="W45" s="131">
        <f t="shared" si="41"/>
        <v>222919.23162621004</v>
      </c>
      <c r="X45" s="131">
        <f t="shared" si="41"/>
        <v>225148.42394247212</v>
      </c>
      <c r="Y45" s="131">
        <f aca="true" t="shared" si="42" ref="Y45:Z55">Y4+Y17+Y31</f>
        <v>227399.90818189684</v>
      </c>
      <c r="Z45" s="131">
        <f t="shared" si="42"/>
        <v>229673.90726371584</v>
      </c>
      <c r="AA45" s="131"/>
    </row>
    <row r="46" spans="16:27" ht="15">
      <c r="P46" s="41">
        <v>2</v>
      </c>
      <c r="Q46" s="131">
        <f aca="true" t="shared" si="43" ref="Q46:Q55">Q5+Q18+Q32</f>
        <v>0</v>
      </c>
      <c r="R46" s="131">
        <f aca="true" t="shared" si="44" ref="R46:X46">R5+R18+R32</f>
        <v>0</v>
      </c>
      <c r="S46" s="131">
        <f t="shared" si="44"/>
        <v>0</v>
      </c>
      <c r="T46" s="131">
        <f t="shared" si="44"/>
        <v>0</v>
      </c>
      <c r="U46" s="131">
        <f t="shared" si="44"/>
        <v>0</v>
      </c>
      <c r="V46" s="131">
        <f t="shared" si="44"/>
        <v>0</v>
      </c>
      <c r="W46" s="131">
        <f t="shared" si="44"/>
        <v>0</v>
      </c>
      <c r="X46" s="131">
        <f t="shared" si="44"/>
        <v>0</v>
      </c>
      <c r="Y46" s="131">
        <f t="shared" si="42"/>
        <v>0</v>
      </c>
      <c r="Z46" s="131">
        <f t="shared" si="42"/>
        <v>0</v>
      </c>
      <c r="AA46" s="131"/>
    </row>
    <row r="47" spans="16:27" ht="15">
      <c r="P47" s="41">
        <v>3</v>
      </c>
      <c r="Q47" s="131">
        <f t="shared" si="43"/>
        <v>0</v>
      </c>
      <c r="R47" s="131">
        <f aca="true" t="shared" si="45" ref="R47:X47">R6+R19+R33</f>
        <v>0</v>
      </c>
      <c r="S47" s="131">
        <f t="shared" si="45"/>
        <v>0</v>
      </c>
      <c r="T47" s="131">
        <f t="shared" si="45"/>
        <v>0</v>
      </c>
      <c r="U47" s="131">
        <f t="shared" si="45"/>
        <v>0</v>
      </c>
      <c r="V47" s="131">
        <f t="shared" si="45"/>
        <v>0</v>
      </c>
      <c r="W47" s="131">
        <f t="shared" si="45"/>
        <v>0</v>
      </c>
      <c r="X47" s="131">
        <f t="shared" si="45"/>
        <v>0</v>
      </c>
      <c r="Y47" s="131">
        <f t="shared" si="42"/>
        <v>0</v>
      </c>
      <c r="Z47" s="131">
        <f t="shared" si="42"/>
        <v>0</v>
      </c>
      <c r="AA47" s="131"/>
    </row>
    <row r="48" spans="16:27" ht="15">
      <c r="P48" s="41">
        <v>4</v>
      </c>
      <c r="Q48" s="131">
        <f t="shared" si="43"/>
        <v>0</v>
      </c>
      <c r="R48" s="131">
        <f aca="true" t="shared" si="46" ref="R48:X48">R7+R20+R34</f>
        <v>0</v>
      </c>
      <c r="S48" s="131">
        <f t="shared" si="46"/>
        <v>0</v>
      </c>
      <c r="T48" s="131">
        <f t="shared" si="46"/>
        <v>0</v>
      </c>
      <c r="U48" s="131">
        <f t="shared" si="46"/>
        <v>0</v>
      </c>
      <c r="V48" s="131">
        <f t="shared" si="46"/>
        <v>0</v>
      </c>
      <c r="W48" s="131">
        <f t="shared" si="46"/>
        <v>0</v>
      </c>
      <c r="X48" s="131">
        <f t="shared" si="46"/>
        <v>0</v>
      </c>
      <c r="Y48" s="131">
        <f t="shared" si="42"/>
        <v>0</v>
      </c>
      <c r="Z48" s="131">
        <f t="shared" si="42"/>
        <v>0</v>
      </c>
      <c r="AA48" s="131"/>
    </row>
    <row r="49" spans="16:27" ht="15">
      <c r="P49" s="41">
        <v>5</v>
      </c>
      <c r="Q49" s="131">
        <f t="shared" si="43"/>
        <v>0</v>
      </c>
      <c r="R49" s="131">
        <f aca="true" t="shared" si="47" ref="R49:X49">R8+R21+R35</f>
        <v>0</v>
      </c>
      <c r="S49" s="131">
        <f t="shared" si="47"/>
        <v>0</v>
      </c>
      <c r="T49" s="131">
        <f t="shared" si="47"/>
        <v>0</v>
      </c>
      <c r="U49" s="131">
        <f t="shared" si="47"/>
        <v>0</v>
      </c>
      <c r="V49" s="131">
        <f t="shared" si="47"/>
        <v>0</v>
      </c>
      <c r="W49" s="131">
        <f t="shared" si="47"/>
        <v>0</v>
      </c>
      <c r="X49" s="131">
        <f t="shared" si="47"/>
        <v>0</v>
      </c>
      <c r="Y49" s="131">
        <f t="shared" si="42"/>
        <v>0</v>
      </c>
      <c r="Z49" s="131">
        <f t="shared" si="42"/>
        <v>0</v>
      </c>
      <c r="AA49" s="131"/>
    </row>
    <row r="50" spans="16:27" ht="15">
      <c r="P50" s="41">
        <v>6</v>
      </c>
      <c r="Q50" s="131">
        <f t="shared" si="43"/>
        <v>0</v>
      </c>
      <c r="R50" s="131">
        <f aca="true" t="shared" si="48" ref="R50:X50">R9+R22+R36</f>
        <v>0</v>
      </c>
      <c r="S50" s="131">
        <f t="shared" si="48"/>
        <v>0</v>
      </c>
      <c r="T50" s="131">
        <f t="shared" si="48"/>
        <v>0</v>
      </c>
      <c r="U50" s="131">
        <f t="shared" si="48"/>
        <v>0</v>
      </c>
      <c r="V50" s="131">
        <f t="shared" si="48"/>
        <v>0</v>
      </c>
      <c r="W50" s="131">
        <f t="shared" si="48"/>
        <v>0</v>
      </c>
      <c r="X50" s="131">
        <f t="shared" si="48"/>
        <v>0</v>
      </c>
      <c r="Y50" s="131">
        <f t="shared" si="42"/>
        <v>0</v>
      </c>
      <c r="Z50" s="131">
        <f t="shared" si="42"/>
        <v>0</v>
      </c>
      <c r="AA50" s="131"/>
    </row>
    <row r="51" spans="16:27" ht="15">
      <c r="P51" s="41">
        <v>7</v>
      </c>
      <c r="Q51" s="131">
        <f t="shared" si="43"/>
        <v>0</v>
      </c>
      <c r="R51" s="131">
        <f aca="true" t="shared" si="49" ref="R51:X51">R10+R23+R37</f>
        <v>0</v>
      </c>
      <c r="S51" s="131">
        <f t="shared" si="49"/>
        <v>0</v>
      </c>
      <c r="T51" s="131">
        <f t="shared" si="49"/>
        <v>0</v>
      </c>
      <c r="U51" s="131">
        <f t="shared" si="49"/>
        <v>0</v>
      </c>
      <c r="V51" s="131">
        <f t="shared" si="49"/>
        <v>0</v>
      </c>
      <c r="W51" s="131">
        <f t="shared" si="49"/>
        <v>0</v>
      </c>
      <c r="X51" s="131">
        <f t="shared" si="49"/>
        <v>0</v>
      </c>
      <c r="Y51" s="131">
        <f t="shared" si="42"/>
        <v>0</v>
      </c>
      <c r="Z51" s="131">
        <f t="shared" si="42"/>
        <v>0</v>
      </c>
      <c r="AA51" s="131"/>
    </row>
    <row r="52" spans="16:27" ht="15">
      <c r="P52" s="41">
        <v>8</v>
      </c>
      <c r="Q52" s="131">
        <f t="shared" si="43"/>
        <v>0</v>
      </c>
      <c r="R52" s="131">
        <f aca="true" t="shared" si="50" ref="R52:X52">R11+R24+R38</f>
        <v>0</v>
      </c>
      <c r="S52" s="131">
        <f t="shared" si="50"/>
        <v>0</v>
      </c>
      <c r="T52" s="131">
        <f t="shared" si="50"/>
        <v>0</v>
      </c>
      <c r="U52" s="131">
        <f t="shared" si="50"/>
        <v>0</v>
      </c>
      <c r="V52" s="131">
        <f t="shared" si="50"/>
        <v>0</v>
      </c>
      <c r="W52" s="131">
        <f t="shared" si="50"/>
        <v>0</v>
      </c>
      <c r="X52" s="131">
        <f t="shared" si="50"/>
        <v>0</v>
      </c>
      <c r="Y52" s="131">
        <f t="shared" si="42"/>
        <v>0</v>
      </c>
      <c r="Z52" s="131">
        <f t="shared" si="42"/>
        <v>0</v>
      </c>
      <c r="AA52" s="131"/>
    </row>
    <row r="53" spans="16:27" ht="15">
      <c r="P53" s="41">
        <v>9</v>
      </c>
      <c r="Q53" s="131">
        <f t="shared" si="43"/>
        <v>0</v>
      </c>
      <c r="R53" s="131">
        <f aca="true" t="shared" si="51" ref="R53:X53">R12+R25+R39</f>
        <v>0</v>
      </c>
      <c r="S53" s="131">
        <f t="shared" si="51"/>
        <v>0</v>
      </c>
      <c r="T53" s="131">
        <f t="shared" si="51"/>
        <v>0</v>
      </c>
      <c r="U53" s="131">
        <f t="shared" si="51"/>
        <v>0</v>
      </c>
      <c r="V53" s="131">
        <f t="shared" si="51"/>
        <v>0</v>
      </c>
      <c r="W53" s="131">
        <f t="shared" si="51"/>
        <v>0</v>
      </c>
      <c r="X53" s="131">
        <f t="shared" si="51"/>
        <v>0</v>
      </c>
      <c r="Y53" s="131">
        <f t="shared" si="42"/>
        <v>0</v>
      </c>
      <c r="Z53" s="131">
        <f t="shared" si="42"/>
        <v>0</v>
      </c>
      <c r="AA53" s="131"/>
    </row>
    <row r="54" spans="16:27" ht="15">
      <c r="P54" s="41">
        <v>10</v>
      </c>
      <c r="Q54" s="131">
        <f t="shared" si="43"/>
        <v>0</v>
      </c>
      <c r="R54" s="131">
        <f aca="true" t="shared" si="52" ref="R54:X54">R13+R26+R40</f>
        <v>0</v>
      </c>
      <c r="S54" s="131">
        <f t="shared" si="52"/>
        <v>0</v>
      </c>
      <c r="T54" s="131">
        <f t="shared" si="52"/>
        <v>0</v>
      </c>
      <c r="U54" s="131">
        <f t="shared" si="52"/>
        <v>0</v>
      </c>
      <c r="V54" s="131">
        <f t="shared" si="52"/>
        <v>0</v>
      </c>
      <c r="W54" s="131">
        <f t="shared" si="52"/>
        <v>0</v>
      </c>
      <c r="X54" s="131">
        <f t="shared" si="52"/>
        <v>0</v>
      </c>
      <c r="Y54" s="131">
        <f t="shared" si="42"/>
        <v>0</v>
      </c>
      <c r="Z54" s="131">
        <f t="shared" si="42"/>
        <v>0</v>
      </c>
      <c r="AA54" s="131"/>
    </row>
    <row r="55" spans="16:27" ht="15">
      <c r="P55" s="41" t="s">
        <v>61</v>
      </c>
      <c r="Q55" s="131">
        <f t="shared" si="43"/>
        <v>210000</v>
      </c>
      <c r="R55" s="131">
        <f aca="true" t="shared" si="53" ref="R55:X55">R14+R27+R41</f>
        <v>212100</v>
      </c>
      <c r="S55" s="131">
        <f t="shared" si="53"/>
        <v>214221</v>
      </c>
      <c r="T55" s="131">
        <f t="shared" si="53"/>
        <v>216363.21000000002</v>
      </c>
      <c r="U55" s="131">
        <f t="shared" si="53"/>
        <v>218526.8421</v>
      </c>
      <c r="V55" s="131">
        <f t="shared" si="53"/>
        <v>220712.11052100002</v>
      </c>
      <c r="W55" s="131">
        <f t="shared" si="53"/>
        <v>222919.23162621004</v>
      </c>
      <c r="X55" s="131">
        <f t="shared" si="53"/>
        <v>225148.42394247212</v>
      </c>
      <c r="Y55" s="131">
        <f t="shared" si="42"/>
        <v>227399.90818189684</v>
      </c>
      <c r="Z55" s="131">
        <f t="shared" si="42"/>
        <v>229673.90726371584</v>
      </c>
      <c r="AA55" s="131"/>
    </row>
    <row r="56" spans="17:27" ht="15">
      <c r="Q56" s="131"/>
      <c r="R56" s="131"/>
      <c r="S56" s="131"/>
      <c r="T56" s="131"/>
      <c r="U56" s="131"/>
      <c r="V56" s="131"/>
      <c r="W56" s="131"/>
      <c r="X56" s="131"/>
      <c r="Y56" s="131"/>
      <c r="Z56" s="131"/>
      <c r="AA56" s="131"/>
    </row>
    <row r="57" spans="13:29" ht="15">
      <c r="M57" s="41" t="s">
        <v>189</v>
      </c>
      <c r="P57" s="41" t="s">
        <v>210</v>
      </c>
      <c r="Q57" s="131"/>
      <c r="R57" s="131"/>
      <c r="S57" s="131"/>
      <c r="T57" s="131"/>
      <c r="U57" s="131"/>
      <c r="V57" s="131"/>
      <c r="W57" s="131"/>
      <c r="X57" s="131"/>
      <c r="Y57" s="131"/>
      <c r="Z57" s="131"/>
      <c r="AA57" s="131"/>
      <c r="AB57" s="41" t="s">
        <v>189</v>
      </c>
      <c r="AC57" s="41" t="s">
        <v>211</v>
      </c>
    </row>
    <row r="58" spans="13:29" ht="15">
      <c r="M58" s="41">
        <v>1</v>
      </c>
      <c r="P58" s="131">
        <f aca="true" t="shared" si="54" ref="P58:P68">-E4</f>
        <v>-353500</v>
      </c>
      <c r="Q58" s="131">
        <f>Q45</f>
        <v>210000</v>
      </c>
      <c r="R58" s="131">
        <f aca="true" t="shared" si="55" ref="R58:X58">R45</f>
        <v>212100</v>
      </c>
      <c r="S58" s="131">
        <f t="shared" si="55"/>
        <v>214221</v>
      </c>
      <c r="T58" s="131">
        <f t="shared" si="55"/>
        <v>216363.21000000002</v>
      </c>
      <c r="U58" s="131">
        <f t="shared" si="55"/>
        <v>218526.8421</v>
      </c>
      <c r="V58" s="131">
        <f t="shared" si="55"/>
        <v>220712.11052100002</v>
      </c>
      <c r="W58" s="131">
        <f t="shared" si="55"/>
        <v>222919.23162621004</v>
      </c>
      <c r="X58" s="131">
        <f t="shared" si="55"/>
        <v>225148.42394247212</v>
      </c>
      <c r="Y58" s="131">
        <f aca="true" t="shared" si="56" ref="Y58:Z68">Y45</f>
        <v>227399.90818189684</v>
      </c>
      <c r="Z58" s="131">
        <f t="shared" si="56"/>
        <v>229673.90726371584</v>
      </c>
      <c r="AA58" s="131"/>
      <c r="AB58" s="102">
        <f aca="true" t="shared" si="57" ref="AB58:AB68">IRR(P58:Z58)</f>
        <v>0.5980167141973631</v>
      </c>
      <c r="AC58" s="106">
        <f aca="true" t="shared" si="58" ref="AC58:AC68">-P58/Q58</f>
        <v>1.6833333333333333</v>
      </c>
    </row>
    <row r="59" spans="13:29" ht="15">
      <c r="M59" s="41">
        <v>2</v>
      </c>
      <c r="P59" s="131">
        <f t="shared" si="54"/>
        <v>0</v>
      </c>
      <c r="Q59" s="131">
        <f aca="true" t="shared" si="59" ref="Q59:X68">Q46</f>
        <v>0</v>
      </c>
      <c r="R59" s="131">
        <f t="shared" si="59"/>
        <v>0</v>
      </c>
      <c r="S59" s="131">
        <f t="shared" si="59"/>
        <v>0</v>
      </c>
      <c r="T59" s="131">
        <f t="shared" si="59"/>
        <v>0</v>
      </c>
      <c r="U59" s="131">
        <f t="shared" si="59"/>
        <v>0</v>
      </c>
      <c r="V59" s="131">
        <f t="shared" si="59"/>
        <v>0</v>
      </c>
      <c r="W59" s="131">
        <f t="shared" si="59"/>
        <v>0</v>
      </c>
      <c r="X59" s="131">
        <f t="shared" si="59"/>
        <v>0</v>
      </c>
      <c r="Y59" s="131">
        <f t="shared" si="56"/>
        <v>0</v>
      </c>
      <c r="Z59" s="131">
        <f t="shared" si="56"/>
        <v>0</v>
      </c>
      <c r="AA59" s="131"/>
      <c r="AB59" s="102" t="e">
        <f t="shared" si="57"/>
        <v>#NUM!</v>
      </c>
      <c r="AC59" s="106" t="e">
        <f t="shared" si="58"/>
        <v>#DIV/0!</v>
      </c>
    </row>
    <row r="60" spans="13:29" ht="15">
      <c r="M60" s="41">
        <v>3</v>
      </c>
      <c r="P60" s="131">
        <f t="shared" si="54"/>
        <v>0</v>
      </c>
      <c r="Q60" s="131">
        <f t="shared" si="59"/>
        <v>0</v>
      </c>
      <c r="R60" s="131">
        <f t="shared" si="59"/>
        <v>0</v>
      </c>
      <c r="S60" s="131">
        <f t="shared" si="59"/>
        <v>0</v>
      </c>
      <c r="T60" s="131">
        <f t="shared" si="59"/>
        <v>0</v>
      </c>
      <c r="U60" s="131">
        <f t="shared" si="59"/>
        <v>0</v>
      </c>
      <c r="V60" s="131">
        <f t="shared" si="59"/>
        <v>0</v>
      </c>
      <c r="W60" s="131">
        <f t="shared" si="59"/>
        <v>0</v>
      </c>
      <c r="X60" s="131">
        <f t="shared" si="59"/>
        <v>0</v>
      </c>
      <c r="Y60" s="131">
        <f t="shared" si="56"/>
        <v>0</v>
      </c>
      <c r="Z60" s="131">
        <f t="shared" si="56"/>
        <v>0</v>
      </c>
      <c r="AA60" s="131"/>
      <c r="AB60" s="102" t="e">
        <f t="shared" si="57"/>
        <v>#NUM!</v>
      </c>
      <c r="AC60" s="106" t="e">
        <f t="shared" si="58"/>
        <v>#DIV/0!</v>
      </c>
    </row>
    <row r="61" spans="13:29" ht="15">
      <c r="M61" s="41">
        <v>4</v>
      </c>
      <c r="P61" s="131">
        <f t="shared" si="54"/>
        <v>0</v>
      </c>
      <c r="Q61" s="131">
        <f t="shared" si="59"/>
        <v>0</v>
      </c>
      <c r="R61" s="131">
        <f t="shared" si="59"/>
        <v>0</v>
      </c>
      <c r="S61" s="131">
        <f t="shared" si="59"/>
        <v>0</v>
      </c>
      <c r="T61" s="131">
        <f t="shared" si="59"/>
        <v>0</v>
      </c>
      <c r="U61" s="131">
        <f t="shared" si="59"/>
        <v>0</v>
      </c>
      <c r="V61" s="131">
        <f t="shared" si="59"/>
        <v>0</v>
      </c>
      <c r="W61" s="131">
        <f t="shared" si="59"/>
        <v>0</v>
      </c>
      <c r="X61" s="131">
        <f t="shared" si="59"/>
        <v>0</v>
      </c>
      <c r="Y61" s="131">
        <f t="shared" si="56"/>
        <v>0</v>
      </c>
      <c r="Z61" s="131">
        <f t="shared" si="56"/>
        <v>0</v>
      </c>
      <c r="AA61" s="131"/>
      <c r="AB61" s="102" t="e">
        <f t="shared" si="57"/>
        <v>#NUM!</v>
      </c>
      <c r="AC61" s="106" t="e">
        <f t="shared" si="58"/>
        <v>#DIV/0!</v>
      </c>
    </row>
    <row r="62" spans="13:29" ht="15">
      <c r="M62" s="41">
        <v>5</v>
      </c>
      <c r="P62" s="131">
        <f t="shared" si="54"/>
        <v>0</v>
      </c>
      <c r="Q62" s="131">
        <f t="shared" si="59"/>
        <v>0</v>
      </c>
      <c r="R62" s="131">
        <f t="shared" si="59"/>
        <v>0</v>
      </c>
      <c r="S62" s="131">
        <f t="shared" si="59"/>
        <v>0</v>
      </c>
      <c r="T62" s="131">
        <f t="shared" si="59"/>
        <v>0</v>
      </c>
      <c r="U62" s="131">
        <f t="shared" si="59"/>
        <v>0</v>
      </c>
      <c r="V62" s="131">
        <f t="shared" si="59"/>
        <v>0</v>
      </c>
      <c r="W62" s="131">
        <f t="shared" si="59"/>
        <v>0</v>
      </c>
      <c r="X62" s="131">
        <f t="shared" si="59"/>
        <v>0</v>
      </c>
      <c r="Y62" s="131">
        <f t="shared" si="56"/>
        <v>0</v>
      </c>
      <c r="Z62" s="131">
        <f t="shared" si="56"/>
        <v>0</v>
      </c>
      <c r="AA62" s="131"/>
      <c r="AB62" s="102" t="e">
        <f t="shared" si="57"/>
        <v>#NUM!</v>
      </c>
      <c r="AC62" s="106" t="e">
        <f t="shared" si="58"/>
        <v>#DIV/0!</v>
      </c>
    </row>
    <row r="63" spans="13:29" ht="15">
      <c r="M63" s="41">
        <v>6</v>
      </c>
      <c r="P63" s="131">
        <f t="shared" si="54"/>
        <v>0</v>
      </c>
      <c r="Q63" s="131">
        <f t="shared" si="59"/>
        <v>0</v>
      </c>
      <c r="R63" s="131">
        <f t="shared" si="59"/>
        <v>0</v>
      </c>
      <c r="S63" s="131">
        <f t="shared" si="59"/>
        <v>0</v>
      </c>
      <c r="T63" s="131">
        <f t="shared" si="59"/>
        <v>0</v>
      </c>
      <c r="U63" s="131">
        <f t="shared" si="59"/>
        <v>0</v>
      </c>
      <c r="V63" s="131">
        <f t="shared" si="59"/>
        <v>0</v>
      </c>
      <c r="W63" s="131">
        <f t="shared" si="59"/>
        <v>0</v>
      </c>
      <c r="X63" s="131">
        <f t="shared" si="59"/>
        <v>0</v>
      </c>
      <c r="Y63" s="131">
        <f t="shared" si="56"/>
        <v>0</v>
      </c>
      <c r="Z63" s="131">
        <f t="shared" si="56"/>
        <v>0</v>
      </c>
      <c r="AA63" s="131"/>
      <c r="AB63" s="102" t="e">
        <f t="shared" si="57"/>
        <v>#NUM!</v>
      </c>
      <c r="AC63" s="106" t="e">
        <f t="shared" si="58"/>
        <v>#DIV/0!</v>
      </c>
    </row>
    <row r="64" spans="13:29" ht="15">
      <c r="M64" s="41">
        <v>7</v>
      </c>
      <c r="P64" s="131">
        <f t="shared" si="54"/>
        <v>0</v>
      </c>
      <c r="Q64" s="131">
        <f t="shared" si="59"/>
        <v>0</v>
      </c>
      <c r="R64" s="131">
        <f t="shared" si="59"/>
        <v>0</v>
      </c>
      <c r="S64" s="131">
        <f t="shared" si="59"/>
        <v>0</v>
      </c>
      <c r="T64" s="131">
        <f t="shared" si="59"/>
        <v>0</v>
      </c>
      <c r="U64" s="131">
        <f t="shared" si="59"/>
        <v>0</v>
      </c>
      <c r="V64" s="131">
        <f t="shared" si="59"/>
        <v>0</v>
      </c>
      <c r="W64" s="131">
        <f t="shared" si="59"/>
        <v>0</v>
      </c>
      <c r="X64" s="131">
        <f t="shared" si="59"/>
        <v>0</v>
      </c>
      <c r="Y64" s="131">
        <f t="shared" si="56"/>
        <v>0</v>
      </c>
      <c r="Z64" s="131">
        <f t="shared" si="56"/>
        <v>0</v>
      </c>
      <c r="AA64" s="131"/>
      <c r="AB64" s="102" t="e">
        <f t="shared" si="57"/>
        <v>#NUM!</v>
      </c>
      <c r="AC64" s="106" t="e">
        <f t="shared" si="58"/>
        <v>#DIV/0!</v>
      </c>
    </row>
    <row r="65" spans="13:29" ht="15">
      <c r="M65" s="41">
        <v>8</v>
      </c>
      <c r="P65" s="131">
        <f t="shared" si="54"/>
        <v>0</v>
      </c>
      <c r="Q65" s="131">
        <f t="shared" si="59"/>
        <v>0</v>
      </c>
      <c r="R65" s="131">
        <f t="shared" si="59"/>
        <v>0</v>
      </c>
      <c r="S65" s="131">
        <f t="shared" si="59"/>
        <v>0</v>
      </c>
      <c r="T65" s="131">
        <f t="shared" si="59"/>
        <v>0</v>
      </c>
      <c r="U65" s="131">
        <f t="shared" si="59"/>
        <v>0</v>
      </c>
      <c r="V65" s="131">
        <f t="shared" si="59"/>
        <v>0</v>
      </c>
      <c r="W65" s="131">
        <f t="shared" si="59"/>
        <v>0</v>
      </c>
      <c r="X65" s="131">
        <f t="shared" si="59"/>
        <v>0</v>
      </c>
      <c r="Y65" s="131">
        <f t="shared" si="56"/>
        <v>0</v>
      </c>
      <c r="Z65" s="131">
        <f t="shared" si="56"/>
        <v>0</v>
      </c>
      <c r="AA65" s="131"/>
      <c r="AB65" s="102" t="e">
        <f t="shared" si="57"/>
        <v>#NUM!</v>
      </c>
      <c r="AC65" s="106" t="e">
        <f t="shared" si="58"/>
        <v>#DIV/0!</v>
      </c>
    </row>
    <row r="66" spans="13:29" ht="15">
      <c r="M66" s="41">
        <v>9</v>
      </c>
      <c r="P66" s="131">
        <f t="shared" si="54"/>
        <v>0</v>
      </c>
      <c r="Q66" s="131">
        <f t="shared" si="59"/>
        <v>0</v>
      </c>
      <c r="R66" s="131">
        <f t="shared" si="59"/>
        <v>0</v>
      </c>
      <c r="S66" s="131">
        <f t="shared" si="59"/>
        <v>0</v>
      </c>
      <c r="T66" s="131">
        <f t="shared" si="59"/>
        <v>0</v>
      </c>
      <c r="U66" s="131">
        <f t="shared" si="59"/>
        <v>0</v>
      </c>
      <c r="V66" s="131">
        <f t="shared" si="59"/>
        <v>0</v>
      </c>
      <c r="W66" s="131">
        <f t="shared" si="59"/>
        <v>0</v>
      </c>
      <c r="X66" s="131">
        <f t="shared" si="59"/>
        <v>0</v>
      </c>
      <c r="Y66" s="131">
        <f t="shared" si="56"/>
        <v>0</v>
      </c>
      <c r="Z66" s="131">
        <f t="shared" si="56"/>
        <v>0</v>
      </c>
      <c r="AA66" s="131"/>
      <c r="AB66" s="102" t="e">
        <f t="shared" si="57"/>
        <v>#NUM!</v>
      </c>
      <c r="AC66" s="106" t="e">
        <f t="shared" si="58"/>
        <v>#DIV/0!</v>
      </c>
    </row>
    <row r="67" spans="13:29" ht="15">
      <c r="M67" s="41">
        <v>10</v>
      </c>
      <c r="P67" s="131">
        <f t="shared" si="54"/>
        <v>0</v>
      </c>
      <c r="Q67" s="131">
        <f t="shared" si="59"/>
        <v>0</v>
      </c>
      <c r="R67" s="131">
        <f t="shared" si="59"/>
        <v>0</v>
      </c>
      <c r="S67" s="131">
        <f t="shared" si="59"/>
        <v>0</v>
      </c>
      <c r="T67" s="131">
        <f t="shared" si="59"/>
        <v>0</v>
      </c>
      <c r="U67" s="131">
        <f t="shared" si="59"/>
        <v>0</v>
      </c>
      <c r="V67" s="131">
        <f t="shared" si="59"/>
        <v>0</v>
      </c>
      <c r="W67" s="131">
        <f t="shared" si="59"/>
        <v>0</v>
      </c>
      <c r="X67" s="131">
        <f t="shared" si="59"/>
        <v>0</v>
      </c>
      <c r="Y67" s="131">
        <f t="shared" si="56"/>
        <v>0</v>
      </c>
      <c r="Z67" s="131">
        <f t="shared" si="56"/>
        <v>0</v>
      </c>
      <c r="AA67" s="131"/>
      <c r="AB67" s="102" t="e">
        <f t="shared" si="57"/>
        <v>#NUM!</v>
      </c>
      <c r="AC67" s="106" t="e">
        <f t="shared" si="58"/>
        <v>#DIV/0!</v>
      </c>
    </row>
    <row r="68" spans="13:29" ht="15">
      <c r="M68" s="41" t="s">
        <v>61</v>
      </c>
      <c r="P68" s="131">
        <f t="shared" si="54"/>
        <v>-353500</v>
      </c>
      <c r="Q68" s="131">
        <f t="shared" si="59"/>
        <v>210000</v>
      </c>
      <c r="R68" s="131">
        <f t="shared" si="59"/>
        <v>212100</v>
      </c>
      <c r="S68" s="131">
        <f t="shared" si="59"/>
        <v>214221</v>
      </c>
      <c r="T68" s="131">
        <f t="shared" si="59"/>
        <v>216363.21000000002</v>
      </c>
      <c r="U68" s="131">
        <f t="shared" si="59"/>
        <v>218526.8421</v>
      </c>
      <c r="V68" s="131">
        <f t="shared" si="59"/>
        <v>220712.11052100002</v>
      </c>
      <c r="W68" s="131">
        <f t="shared" si="59"/>
        <v>222919.23162621004</v>
      </c>
      <c r="X68" s="131">
        <f t="shared" si="59"/>
        <v>225148.42394247212</v>
      </c>
      <c r="Y68" s="131">
        <f t="shared" si="56"/>
        <v>227399.90818189684</v>
      </c>
      <c r="Z68" s="131">
        <f t="shared" si="56"/>
        <v>229673.90726371584</v>
      </c>
      <c r="AA68" s="131"/>
      <c r="AB68" s="102">
        <f t="shared" si="57"/>
        <v>0.5980167141973631</v>
      </c>
      <c r="AC68" s="106">
        <f t="shared" si="58"/>
        <v>1.6833333333333333</v>
      </c>
    </row>
    <row r="69" spans="17:27" ht="15">
      <c r="Q69" s="131"/>
      <c r="R69" s="131"/>
      <c r="S69" s="131"/>
      <c r="T69" s="131"/>
      <c r="U69" s="131"/>
      <c r="V69" s="131"/>
      <c r="W69" s="131"/>
      <c r="X69" s="131"/>
      <c r="Y69" s="131"/>
      <c r="Z69" s="131"/>
      <c r="AA69" s="131"/>
    </row>
    <row r="70" spans="13:29" ht="15">
      <c r="M70" s="105" t="s">
        <v>214</v>
      </c>
      <c r="N70" s="105"/>
      <c r="O70" s="105"/>
      <c r="P70" s="131">
        <f>-' Summary'!C7</f>
        <v>-414644.7</v>
      </c>
      <c r="Q70" s="131">
        <f>Q68</f>
        <v>210000</v>
      </c>
      <c r="R70" s="131">
        <f aca="true" t="shared" si="60" ref="R70:X70">R68</f>
        <v>212100</v>
      </c>
      <c r="S70" s="131">
        <f t="shared" si="60"/>
        <v>214221</v>
      </c>
      <c r="T70" s="131">
        <f t="shared" si="60"/>
        <v>216363.21000000002</v>
      </c>
      <c r="U70" s="131">
        <f t="shared" si="60"/>
        <v>218526.8421</v>
      </c>
      <c r="V70" s="131">
        <f t="shared" si="60"/>
        <v>220712.11052100002</v>
      </c>
      <c r="W70" s="131">
        <f t="shared" si="60"/>
        <v>222919.23162621004</v>
      </c>
      <c r="X70" s="131">
        <f t="shared" si="60"/>
        <v>225148.42394247212</v>
      </c>
      <c r="Y70" s="131">
        <f>Y68</f>
        <v>227399.90818189684</v>
      </c>
      <c r="Z70" s="131">
        <f>Z68</f>
        <v>229673.90726371584</v>
      </c>
      <c r="AA70" s="131"/>
      <c r="AB70" s="103">
        <f>IRR(P70:Z70)</f>
        <v>0.5072103258808672</v>
      </c>
      <c r="AC70" s="106">
        <f>-P70/Q70</f>
        <v>1.9744985714285714</v>
      </c>
    </row>
    <row r="71" spans="15:27" ht="15">
      <c r="O71" s="41" t="s">
        <v>325</v>
      </c>
      <c r="P71" s="745">
        <f>NPV(Discount_rate,P70:Z70)</f>
        <v>1782419.9336352947</v>
      </c>
      <c r="Q71" s="131"/>
      <c r="R71" s="131"/>
      <c r="S71" s="131"/>
      <c r="T71" s="131"/>
      <c r="U71" s="131"/>
      <c r="V71" s="131"/>
      <c r="W71" s="131"/>
      <c r="X71" s="131"/>
      <c r="Y71" s="131"/>
      <c r="Z71" s="131"/>
      <c r="AA71" s="131"/>
    </row>
    <row r="72" spans="17:27" ht="15">
      <c r="Q72" s="131"/>
      <c r="R72" s="131"/>
      <c r="S72" s="131"/>
      <c r="T72" s="131"/>
      <c r="U72" s="131"/>
      <c r="V72" s="131"/>
      <c r="W72" s="131"/>
      <c r="X72" s="131"/>
      <c r="Y72" s="131"/>
      <c r="Z72" s="131"/>
      <c r="AA72" s="131"/>
    </row>
    <row r="73" spans="17:27" ht="15">
      <c r="Q73" s="131"/>
      <c r="R73" s="131"/>
      <c r="S73" s="131"/>
      <c r="T73" s="131"/>
      <c r="U73" s="131"/>
      <c r="V73" s="131"/>
      <c r="W73" s="131"/>
      <c r="X73" s="131"/>
      <c r="Y73" s="131"/>
      <c r="Z73" s="131"/>
      <c r="AA73" s="131"/>
    </row>
    <row r="75" spans="16:29" ht="15">
      <c r="P75" s="744"/>
      <c r="Q75" s="744"/>
      <c r="R75" s="744"/>
      <c r="S75" s="744"/>
      <c r="T75" s="744"/>
      <c r="U75" s="744"/>
      <c r="V75" s="744"/>
      <c r="W75" s="744"/>
      <c r="X75" s="744"/>
      <c r="Y75" s="744"/>
      <c r="Z75" s="744"/>
      <c r="AA75" s="744"/>
      <c r="AB75" s="744"/>
      <c r="AC75" s="744"/>
    </row>
    <row r="76" spans="17:27" ht="15">
      <c r="Q76" s="131"/>
      <c r="R76" s="131"/>
      <c r="S76" s="131"/>
      <c r="T76" s="131"/>
      <c r="U76" s="131"/>
      <c r="V76" s="131"/>
      <c r="W76" s="131"/>
      <c r="X76" s="131"/>
      <c r="Y76" s="131"/>
      <c r="Z76" s="131"/>
      <c r="AA76" s="131"/>
    </row>
    <row r="77" spans="17:27" ht="15">
      <c r="Q77" s="131"/>
      <c r="R77" s="131"/>
      <c r="S77" s="131"/>
      <c r="T77" s="131"/>
      <c r="U77" s="131"/>
      <c r="V77" s="131"/>
      <c r="W77" s="131"/>
      <c r="X77" s="131"/>
      <c r="Y77" s="131"/>
      <c r="Z77" s="131"/>
      <c r="AA77" s="131"/>
    </row>
    <row r="78" spans="17:27" ht="15">
      <c r="Q78" s="131"/>
      <c r="R78" s="131"/>
      <c r="S78" s="131"/>
      <c r="T78" s="131"/>
      <c r="U78" s="131"/>
      <c r="V78" s="131"/>
      <c r="W78" s="131"/>
      <c r="X78" s="131"/>
      <c r="Y78" s="131"/>
      <c r="Z78" s="131"/>
      <c r="AA78" s="131"/>
    </row>
    <row r="79" spans="17:27" ht="15">
      <c r="Q79" s="131"/>
      <c r="R79" s="131"/>
      <c r="S79" s="131"/>
      <c r="T79" s="131"/>
      <c r="U79" s="131"/>
      <c r="V79" s="131"/>
      <c r="W79" s="131"/>
      <c r="X79" s="131"/>
      <c r="Y79" s="131"/>
      <c r="Z79" s="131"/>
      <c r="AA79" s="131"/>
    </row>
    <row r="80" spans="17:27" ht="15">
      <c r="Q80" s="131"/>
      <c r="R80" s="131"/>
      <c r="S80" s="131"/>
      <c r="T80" s="131"/>
      <c r="U80" s="131"/>
      <c r="V80" s="131"/>
      <c r="W80" s="131"/>
      <c r="X80" s="131"/>
      <c r="Y80" s="131"/>
      <c r="Z80" s="131"/>
      <c r="AA80" s="131"/>
    </row>
    <row r="65536" ht="15">
      <c r="L65536"/>
    </row>
  </sheetData>
  <sheetProtection/>
  <printOptions/>
  <pageMargins left="0.75" right="0.75" top="1" bottom="1" header="0.5" footer="0.5"/>
  <pageSetup horizontalDpi="600" verticalDpi="600" orientation="landscape" scale="69" r:id="rId3"/>
  <legacy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BE84"/>
  <sheetViews>
    <sheetView view="pageBreakPreview" zoomScale="60" zoomScaleNormal="65" workbookViewId="0" topLeftCell="A1">
      <selection activeCell="A1" sqref="A1"/>
    </sheetView>
  </sheetViews>
  <sheetFormatPr defaultColWidth="9.140625" defaultRowHeight="15"/>
  <cols>
    <col min="1" max="1" width="26.8515625" style="0" customWidth="1"/>
    <col min="2" max="2" width="18.421875" style="0" customWidth="1"/>
    <col min="3" max="3" width="18.28125" style="0" customWidth="1"/>
    <col min="4" max="6" width="16.57421875" style="0" bestFit="1" customWidth="1"/>
    <col min="7" max="7" width="17.00390625" style="0" customWidth="1"/>
    <col min="8" max="8" width="15.28125" style="0" customWidth="1"/>
    <col min="9" max="9" width="17.421875" style="0" customWidth="1"/>
    <col min="10" max="10" width="17.00390625" style="0" customWidth="1"/>
    <col min="11" max="11" width="16.140625" style="0" customWidth="1"/>
    <col min="12" max="12" width="15.8515625" style="0" customWidth="1"/>
    <col min="13" max="13" width="17.28125" style="0" bestFit="1" customWidth="1"/>
    <col min="14" max="14" width="14.7109375" style="0" customWidth="1"/>
    <col min="15" max="20" width="10.57421875" style="0" customWidth="1"/>
  </cols>
  <sheetData>
    <row r="1" spans="1:13" ht="15">
      <c r="A1" s="10" t="s">
        <v>112</v>
      </c>
      <c r="B1" s="2"/>
      <c r="C1" s="2"/>
      <c r="D1" s="2"/>
      <c r="H1" s="2"/>
      <c r="I1" s="2"/>
      <c r="J1" s="2"/>
      <c r="K1" s="2"/>
      <c r="L1" s="2"/>
      <c r="M1" s="2"/>
    </row>
    <row r="2" spans="1:13" ht="15">
      <c r="A2" s="29"/>
      <c r="B2" s="30" t="s">
        <v>228</v>
      </c>
      <c r="C2" s="31"/>
      <c r="D2" s="2"/>
      <c r="H2" s="2"/>
      <c r="I2" s="2"/>
      <c r="J2" s="2"/>
      <c r="K2" s="2"/>
      <c r="L2" s="2"/>
      <c r="M2" s="2"/>
    </row>
    <row r="3" spans="1:13" ht="15">
      <c r="A3" s="32"/>
      <c r="B3" s="26"/>
      <c r="C3" s="33"/>
      <c r="D3" s="2"/>
      <c r="H3" s="2"/>
      <c r="I3" s="2"/>
      <c r="J3" s="2"/>
      <c r="K3" s="2"/>
      <c r="L3" s="2"/>
      <c r="M3" s="2"/>
    </row>
    <row r="4" spans="1:13" ht="15">
      <c r="A4" s="5" t="s">
        <v>245</v>
      </c>
      <c r="B4" s="124">
        <f>IF(Data!D13=1,' Summary'!C$9,0)</f>
        <v>0</v>
      </c>
      <c r="C4" s="125"/>
      <c r="D4" s="2"/>
      <c r="H4" s="2"/>
      <c r="I4" s="2"/>
      <c r="J4" s="2"/>
      <c r="K4" s="2"/>
      <c r="L4" s="2"/>
      <c r="M4" s="2"/>
    </row>
    <row r="5" spans="1:13" ht="15">
      <c r="A5" s="5" t="s">
        <v>246</v>
      </c>
      <c r="B5" s="124">
        <f>IF(Data!D13=2,' Summary'!C$9,0)</f>
        <v>0</v>
      </c>
      <c r="C5" s="125"/>
      <c r="D5" s="2"/>
      <c r="H5" s="2"/>
      <c r="I5" s="2"/>
      <c r="J5" s="2"/>
      <c r="K5" s="2"/>
      <c r="L5" s="2"/>
      <c r="M5" s="2"/>
    </row>
    <row r="6" spans="1:13" ht="15">
      <c r="A6" s="5" t="s">
        <v>114</v>
      </c>
      <c r="B6" s="78">
        <f>' Summary'!C10</f>
        <v>0</v>
      </c>
      <c r="C6" s="79"/>
      <c r="D6" s="2"/>
      <c r="H6" s="2"/>
      <c r="I6" s="2"/>
      <c r="J6" s="2"/>
      <c r="K6" s="2"/>
      <c r="L6" s="2"/>
      <c r="M6" s="2"/>
    </row>
    <row r="7" spans="1:13" ht="15">
      <c r="A7" s="5" t="s">
        <v>115</v>
      </c>
      <c r="B7" s="80">
        <f>' Summary'!C11</f>
        <v>0</v>
      </c>
      <c r="C7" s="81"/>
      <c r="D7" s="7"/>
      <c r="H7" s="7"/>
      <c r="I7" s="7"/>
      <c r="J7" s="7"/>
      <c r="K7" s="7"/>
      <c r="L7" s="7"/>
      <c r="M7" s="7"/>
    </row>
    <row r="8" spans="1:13" ht="15">
      <c r="A8" s="5" t="s">
        <v>116</v>
      </c>
      <c r="B8" s="80">
        <f>' Summary'!C12</f>
        <v>0</v>
      </c>
      <c r="C8" s="81"/>
      <c r="D8" s="7"/>
      <c r="H8" s="7"/>
      <c r="I8" s="7"/>
      <c r="J8" s="7"/>
      <c r="K8" s="7"/>
      <c r="L8" s="7"/>
      <c r="M8" s="7"/>
    </row>
    <row r="9" spans="1:13" ht="15">
      <c r="A9" s="5" t="s">
        <v>117</v>
      </c>
      <c r="B9" s="80">
        <f>B7+B8</f>
        <v>0</v>
      </c>
      <c r="C9" s="82"/>
      <c r="D9" s="7"/>
      <c r="H9" s="7"/>
      <c r="I9" s="7"/>
      <c r="J9" s="7"/>
      <c r="K9" s="7"/>
      <c r="L9" s="7"/>
      <c r="M9" s="7"/>
    </row>
    <row r="10" spans="1:13" ht="15">
      <c r="A10" s="5" t="s">
        <v>118</v>
      </c>
      <c r="B10" s="83" t="str">
        <f>Data!E13</f>
        <v>Level Principal</v>
      </c>
      <c r="C10" s="77"/>
      <c r="D10" s="7"/>
      <c r="E10" s="291"/>
      <c r="H10" s="7"/>
      <c r="I10" s="7"/>
      <c r="J10" s="7"/>
      <c r="K10" s="7"/>
      <c r="L10" s="7"/>
      <c r="M10" s="7"/>
    </row>
    <row r="11" spans="1:13" ht="15">
      <c r="A11" s="152" t="s">
        <v>13</v>
      </c>
      <c r="B11" s="153" t="str">
        <f>IF(CLoan=TRUE,"YES","NO")</f>
        <v>NO</v>
      </c>
      <c r="C11" s="16"/>
      <c r="D11" s="7"/>
      <c r="H11" s="7"/>
      <c r="I11" s="7"/>
      <c r="J11" s="7"/>
      <c r="K11" s="7"/>
      <c r="L11" s="7"/>
      <c r="M11" s="7"/>
    </row>
    <row r="12" spans="1:13" ht="15">
      <c r="A12" s="2"/>
      <c r="B12" s="27"/>
      <c r="C12" s="27"/>
      <c r="D12" s="7"/>
      <c r="H12" s="7"/>
      <c r="I12" s="7"/>
      <c r="J12" s="7"/>
      <c r="K12" s="7"/>
      <c r="L12" s="7"/>
      <c r="M12" s="7"/>
    </row>
    <row r="13" spans="1:13" ht="15">
      <c r="A13" s="2"/>
      <c r="B13" s="144" t="s">
        <v>95</v>
      </c>
      <c r="C13" s="144" t="s">
        <v>96</v>
      </c>
      <c r="D13" s="7"/>
      <c r="E13" s="7"/>
      <c r="F13" s="7"/>
      <c r="G13" s="7"/>
      <c r="H13" s="7"/>
      <c r="I13" s="7"/>
      <c r="J13" s="7"/>
      <c r="K13" s="7"/>
      <c r="L13" s="2"/>
      <c r="M13" s="7"/>
    </row>
    <row r="14" spans="1:13" ht="15">
      <c r="A14" s="146" t="s">
        <v>243</v>
      </c>
      <c r="B14" s="145" t="b">
        <f>OR(B8&gt;0,CLoan=TRUE)</f>
        <v>0</v>
      </c>
      <c r="C14" s="144"/>
      <c r="D14" s="7"/>
      <c r="E14" s="7"/>
      <c r="F14" s="7"/>
      <c r="G14" s="7"/>
      <c r="H14" s="7"/>
      <c r="I14" s="7"/>
      <c r="J14" s="7"/>
      <c r="K14" s="7"/>
      <c r="L14" s="2"/>
      <c r="M14" s="7"/>
    </row>
    <row r="15" spans="1:13" ht="15">
      <c r="A15" s="147" t="s">
        <v>244</v>
      </c>
      <c r="B15" s="2">
        <f>IF(CLoan=TRUE,0,1)</f>
        <v>1</v>
      </c>
      <c r="C15" s="2">
        <f aca="true" t="shared" si="0" ref="C15:L15">B15+1</f>
        <v>2</v>
      </c>
      <c r="D15" s="2">
        <f t="shared" si="0"/>
        <v>3</v>
      </c>
      <c r="E15" s="2">
        <f t="shared" si="0"/>
        <v>4</v>
      </c>
      <c r="F15" s="2">
        <f t="shared" si="0"/>
        <v>5</v>
      </c>
      <c r="G15" s="2">
        <f t="shared" si="0"/>
        <v>6</v>
      </c>
      <c r="H15" s="2">
        <f t="shared" si="0"/>
        <v>7</v>
      </c>
      <c r="I15" s="2">
        <f t="shared" si="0"/>
        <v>8</v>
      </c>
      <c r="J15" s="2">
        <f t="shared" si="0"/>
        <v>9</v>
      </c>
      <c r="K15" s="2">
        <f t="shared" si="0"/>
        <v>10</v>
      </c>
      <c r="L15" s="2">
        <f t="shared" si="0"/>
        <v>11</v>
      </c>
      <c r="M15" s="148" t="s">
        <v>61</v>
      </c>
    </row>
    <row r="16" spans="1:13" ht="15">
      <c r="A16" s="2"/>
      <c r="B16" s="2"/>
      <c r="C16" s="7"/>
      <c r="D16" s="15"/>
      <c r="E16" s="2"/>
      <c r="F16" s="2"/>
      <c r="G16" s="2"/>
      <c r="H16" s="7"/>
      <c r="I16" s="7"/>
      <c r="J16" s="7"/>
      <c r="K16" s="7"/>
      <c r="L16" s="7"/>
      <c r="M16" s="7"/>
    </row>
    <row r="17" spans="1:13" ht="15">
      <c r="A17" s="24" t="s">
        <v>228</v>
      </c>
      <c r="B17" s="293"/>
      <c r="C17" s="293"/>
      <c r="D17" s="293"/>
      <c r="E17" s="293"/>
      <c r="F17" s="293"/>
      <c r="G17" s="293"/>
      <c r="H17" s="7"/>
      <c r="I17" s="7"/>
      <c r="J17" s="7"/>
      <c r="K17" s="7"/>
      <c r="L17" s="7"/>
      <c r="M17" s="7"/>
    </row>
    <row r="18" spans="1:13" ht="15">
      <c r="A18" s="143" t="s">
        <v>242</v>
      </c>
      <c r="B18" s="2">
        <f>IF(CLoan=TRUE,0,$B$4+$B$5)</f>
        <v>0</v>
      </c>
      <c r="C18" s="2">
        <f>IF(B$18&gt;0,0,$B$4+$B$5)</f>
        <v>0</v>
      </c>
      <c r="D18" s="2"/>
      <c r="E18" s="2"/>
      <c r="F18" s="2"/>
      <c r="G18" s="2"/>
      <c r="H18" s="7"/>
      <c r="I18" s="7"/>
      <c r="J18" s="7"/>
      <c r="K18" s="7"/>
      <c r="L18" s="7"/>
      <c r="M18" s="7"/>
    </row>
    <row r="19" spans="1:13" ht="15">
      <c r="A19" s="28" t="s">
        <v>119</v>
      </c>
      <c r="B19" s="2"/>
      <c r="C19" s="7"/>
      <c r="D19" s="7"/>
      <c r="E19" s="7"/>
      <c r="F19" s="7"/>
      <c r="G19" s="7"/>
      <c r="H19" s="7"/>
      <c r="I19" s="7"/>
      <c r="J19" s="7"/>
      <c r="K19" s="7"/>
      <c r="L19" s="7"/>
      <c r="M19" s="7"/>
    </row>
    <row r="20" spans="1:14" ht="15">
      <c r="A20" s="9" t="s">
        <v>120</v>
      </c>
      <c r="B20" s="126">
        <f>IF($B$4&gt;0,B$18,0)</f>
        <v>0</v>
      </c>
      <c r="C20" s="126">
        <f>IF($B$4&gt;0,B$18+C$18+B22,0)</f>
        <v>0</v>
      </c>
      <c r="D20" s="126">
        <f aca="true" t="shared" si="1" ref="D20:L20">C20+C22</f>
        <v>0</v>
      </c>
      <c r="E20" s="126">
        <f t="shared" si="1"/>
        <v>0</v>
      </c>
      <c r="F20" s="126">
        <f t="shared" si="1"/>
        <v>0</v>
      </c>
      <c r="G20" s="126">
        <f t="shared" si="1"/>
        <v>0</v>
      </c>
      <c r="H20" s="126">
        <f t="shared" si="1"/>
        <v>0</v>
      </c>
      <c r="I20" s="126">
        <f t="shared" si="1"/>
        <v>0</v>
      </c>
      <c r="J20" s="126">
        <f t="shared" si="1"/>
        <v>0</v>
      </c>
      <c r="K20" s="126">
        <f t="shared" si="1"/>
        <v>0</v>
      </c>
      <c r="L20" s="126">
        <f t="shared" si="1"/>
        <v>0</v>
      </c>
      <c r="M20" s="35"/>
      <c r="N20" s="1"/>
    </row>
    <row r="21" spans="1:57" ht="15">
      <c r="A21" s="5" t="s">
        <v>121</v>
      </c>
      <c r="B21" s="3">
        <f>IF(B20&gt;0,IPMT($B$6,1,$B$7,$B20),0)</f>
        <v>0</v>
      </c>
      <c r="C21" s="3">
        <f>IF(C$15&lt;=$B$8,-C$20*$B$6,IF($B$9&gt;=C$15,IPMT($B$6,C$15-$B$8,$B$7,$B$4),0))</f>
        <v>0</v>
      </c>
      <c r="D21" s="3">
        <f>IF(D$15&lt;=$B$8,-D$20*$B$6,IF($B$9&gt;=D$15,IPMT($B$6,D$15-$B$8,$B$7,$B$4),0))</f>
        <v>0</v>
      </c>
      <c r="E21" s="3">
        <f aca="true" t="shared" si="2" ref="E21:L21">IF(E$15&lt;=$B$8,-E$20*$B$6,IF($B$9&gt;=E$15,IPMT($B$6,E$15-$B$8,$B$7,$B$4),0))</f>
        <v>0</v>
      </c>
      <c r="F21" s="3">
        <f t="shared" si="2"/>
        <v>0</v>
      </c>
      <c r="G21" s="3">
        <f t="shared" si="2"/>
        <v>0</v>
      </c>
      <c r="H21" s="3">
        <f t="shared" si="2"/>
        <v>0</v>
      </c>
      <c r="I21" s="3">
        <f t="shared" si="2"/>
        <v>0</v>
      </c>
      <c r="J21" s="3">
        <f t="shared" si="2"/>
        <v>0</v>
      </c>
      <c r="K21" s="3">
        <f t="shared" si="2"/>
        <v>0</v>
      </c>
      <c r="L21" s="3">
        <f t="shared" si="2"/>
        <v>0</v>
      </c>
      <c r="M21" s="12">
        <f>SUM(B21:L21)</f>
        <v>0</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ht="15">
      <c r="A22" s="5" t="s">
        <v>122</v>
      </c>
      <c r="B22" s="127">
        <f>IF(B$8&gt;=B$15,0,IF(B$15&lt;=$B$7,PPMT($B$6,B$15,$B$7,$B$4),0))</f>
        <v>0</v>
      </c>
      <c r="C22" s="127">
        <f aca="true" t="shared" si="3" ref="C22:L22">IF($B$8&gt;=C15,0,IF(C15-$B8&lt;=$B7,PPMT($B$6,C$15-$B$8,$B$7,$B$4),0))</f>
        <v>0</v>
      </c>
      <c r="D22" s="127">
        <f t="shared" si="3"/>
        <v>0</v>
      </c>
      <c r="E22" s="127">
        <f t="shared" si="3"/>
        <v>0</v>
      </c>
      <c r="F22" s="127">
        <f t="shared" si="3"/>
        <v>0</v>
      </c>
      <c r="G22" s="127">
        <f t="shared" si="3"/>
        <v>0</v>
      </c>
      <c r="H22" s="127">
        <f t="shared" si="3"/>
        <v>0</v>
      </c>
      <c r="I22" s="127">
        <f t="shared" si="3"/>
        <v>0</v>
      </c>
      <c r="J22" s="127">
        <f t="shared" si="3"/>
        <v>0</v>
      </c>
      <c r="K22" s="127">
        <f t="shared" si="3"/>
        <v>0</v>
      </c>
      <c r="L22" s="127">
        <f t="shared" si="3"/>
        <v>0</v>
      </c>
      <c r="M22" s="128">
        <f>SUM(B22:L22)</f>
        <v>0</v>
      </c>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57" ht="15">
      <c r="A23" s="8" t="s">
        <v>123</v>
      </c>
      <c r="B23" s="127">
        <f aca="true" t="shared" si="4" ref="B23:M23">SUM(B21:B22)</f>
        <v>0</v>
      </c>
      <c r="C23" s="127">
        <f t="shared" si="4"/>
        <v>0</v>
      </c>
      <c r="D23" s="127">
        <f t="shared" si="4"/>
        <v>0</v>
      </c>
      <c r="E23" s="127">
        <f t="shared" si="4"/>
        <v>0</v>
      </c>
      <c r="F23" s="127">
        <f t="shared" si="4"/>
        <v>0</v>
      </c>
      <c r="G23" s="127">
        <f t="shared" si="4"/>
        <v>0</v>
      </c>
      <c r="H23" s="127">
        <f t="shared" si="4"/>
        <v>0</v>
      </c>
      <c r="I23" s="127">
        <f t="shared" si="4"/>
        <v>0</v>
      </c>
      <c r="J23" s="127">
        <f t="shared" si="4"/>
        <v>0</v>
      </c>
      <c r="K23" s="127">
        <f t="shared" si="4"/>
        <v>0</v>
      </c>
      <c r="L23" s="127">
        <f t="shared" si="4"/>
        <v>0</v>
      </c>
      <c r="M23" s="128">
        <f t="shared" si="4"/>
        <v>0</v>
      </c>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2:14" s="2" customFormat="1" ht="15">
      <c r="B24" s="3"/>
      <c r="C24" s="3"/>
      <c r="D24" s="3"/>
      <c r="E24" s="3"/>
      <c r="F24" s="3"/>
      <c r="G24" s="3"/>
      <c r="H24" s="3"/>
      <c r="I24" s="3"/>
      <c r="J24" s="3"/>
      <c r="K24" s="3"/>
      <c r="L24" s="3"/>
      <c r="M24" s="3"/>
      <c r="N24" s="3"/>
    </row>
    <row r="25" spans="1:14" s="2" customFormat="1" ht="15">
      <c r="A25" s="28" t="s">
        <v>124</v>
      </c>
      <c r="B25" s="3"/>
      <c r="C25" s="3"/>
      <c r="D25" s="3"/>
      <c r="E25" s="3"/>
      <c r="F25" s="3"/>
      <c r="G25" s="3"/>
      <c r="H25" s="3"/>
      <c r="I25" s="3"/>
      <c r="J25" s="3"/>
      <c r="K25" s="3"/>
      <c r="L25" s="3"/>
      <c r="M25" s="3"/>
      <c r="N25" s="3"/>
    </row>
    <row r="26" spans="1:14" s="2" customFormat="1" ht="15">
      <c r="A26" s="9" t="s">
        <v>120</v>
      </c>
      <c r="B26" s="126">
        <f>IF($B$5&gt;0,B$18,0)</f>
        <v>0</v>
      </c>
      <c r="C26" s="126">
        <f>IF($B$5&gt;0,B$18+C$18+B28,0)</f>
        <v>0</v>
      </c>
      <c r="D26" s="126">
        <f aca="true" t="shared" si="5" ref="D26:L26">C26+C28</f>
        <v>0</v>
      </c>
      <c r="E26" s="126">
        <f t="shared" si="5"/>
        <v>0</v>
      </c>
      <c r="F26" s="126">
        <f t="shared" si="5"/>
        <v>0</v>
      </c>
      <c r="G26" s="126">
        <f t="shared" si="5"/>
        <v>0</v>
      </c>
      <c r="H26" s="126">
        <f t="shared" si="5"/>
        <v>0</v>
      </c>
      <c r="I26" s="126">
        <f t="shared" si="5"/>
        <v>0</v>
      </c>
      <c r="J26" s="126">
        <f t="shared" si="5"/>
        <v>0</v>
      </c>
      <c r="K26" s="126">
        <f t="shared" si="5"/>
        <v>0</v>
      </c>
      <c r="L26" s="126">
        <f t="shared" si="5"/>
        <v>0</v>
      </c>
      <c r="M26" s="35"/>
      <c r="N26" s="3"/>
    </row>
    <row r="27" spans="1:14" s="2" customFormat="1" ht="15">
      <c r="A27" s="5" t="s">
        <v>121</v>
      </c>
      <c r="B27" s="3">
        <f>IF(CLoan=FALSE,IF(B26=0,0,-B26*$B6),0)</f>
        <v>0</v>
      </c>
      <c r="C27" s="3">
        <f aca="true" t="shared" si="6" ref="C27:L27">IF(C26=0,0,-C26*$B6)</f>
        <v>0</v>
      </c>
      <c r="D27" s="3">
        <f t="shared" si="6"/>
        <v>0</v>
      </c>
      <c r="E27" s="3">
        <f t="shared" si="6"/>
        <v>0</v>
      </c>
      <c r="F27" s="3">
        <f t="shared" si="6"/>
        <v>0</v>
      </c>
      <c r="G27" s="3">
        <f t="shared" si="6"/>
        <v>0</v>
      </c>
      <c r="H27" s="3">
        <f t="shared" si="6"/>
        <v>0</v>
      </c>
      <c r="I27" s="3">
        <f t="shared" si="6"/>
        <v>0</v>
      </c>
      <c r="J27" s="3">
        <f t="shared" si="6"/>
        <v>0</v>
      </c>
      <c r="K27" s="3">
        <f t="shared" si="6"/>
        <v>0</v>
      </c>
      <c r="L27" s="3">
        <f t="shared" si="6"/>
        <v>0</v>
      </c>
      <c r="M27" s="12">
        <f>SUM(B27:L27)</f>
        <v>0</v>
      </c>
      <c r="N27" s="3"/>
    </row>
    <row r="28" spans="1:15" s="2" customFormat="1" ht="15">
      <c r="A28" s="5" t="s">
        <v>125</v>
      </c>
      <c r="B28" s="127">
        <f>IF($B26=0,0,IF(B$15&lt;=$B$8,0,(IF(B$15&lt;=$B$9,-$B$5/$B$7,0))))</f>
        <v>0</v>
      </c>
      <c r="C28" s="127">
        <f aca="true" t="shared" si="7" ref="C28:L28">IF(C26=0,0,IF(C$15&lt;=$B$8,0,(IF(C$15&lt;=$B$9,-$B$5/$B$7,0))))</f>
        <v>0</v>
      </c>
      <c r="D28" s="127">
        <f t="shared" si="7"/>
        <v>0</v>
      </c>
      <c r="E28" s="127">
        <f t="shared" si="7"/>
        <v>0</v>
      </c>
      <c r="F28" s="127">
        <f t="shared" si="7"/>
        <v>0</v>
      </c>
      <c r="G28" s="127">
        <f t="shared" si="7"/>
        <v>0</v>
      </c>
      <c r="H28" s="127">
        <f t="shared" si="7"/>
        <v>0</v>
      </c>
      <c r="I28" s="127">
        <f t="shared" si="7"/>
        <v>0</v>
      </c>
      <c r="J28" s="127">
        <f t="shared" si="7"/>
        <v>0</v>
      </c>
      <c r="K28" s="127">
        <f t="shared" si="7"/>
        <v>0</v>
      </c>
      <c r="L28" s="127">
        <f t="shared" si="7"/>
        <v>0</v>
      </c>
      <c r="M28" s="12">
        <f>SUM(B28:L28)</f>
        <v>0</v>
      </c>
      <c r="N28" s="3"/>
      <c r="O28" s="7"/>
    </row>
    <row r="29" spans="1:14" s="2" customFormat="1" ht="15">
      <c r="A29" s="8" t="s">
        <v>123</v>
      </c>
      <c r="B29" s="127">
        <f aca="true" t="shared" si="8" ref="B29:L29">SUM(B27:B28)</f>
        <v>0</v>
      </c>
      <c r="C29" s="127">
        <f t="shared" si="8"/>
        <v>0</v>
      </c>
      <c r="D29" s="127">
        <f t="shared" si="8"/>
        <v>0</v>
      </c>
      <c r="E29" s="127">
        <f t="shared" si="8"/>
        <v>0</v>
      </c>
      <c r="F29" s="127">
        <f t="shared" si="8"/>
        <v>0</v>
      </c>
      <c r="G29" s="127">
        <f t="shared" si="8"/>
        <v>0</v>
      </c>
      <c r="H29" s="127">
        <f t="shared" si="8"/>
        <v>0</v>
      </c>
      <c r="I29" s="127">
        <f t="shared" si="8"/>
        <v>0</v>
      </c>
      <c r="J29" s="127">
        <f t="shared" si="8"/>
        <v>0</v>
      </c>
      <c r="K29" s="127">
        <f t="shared" si="8"/>
        <v>0</v>
      </c>
      <c r="L29" s="127">
        <f t="shared" si="8"/>
        <v>0</v>
      </c>
      <c r="M29" s="128">
        <f>SUM(B29:L29)</f>
        <v>0</v>
      </c>
      <c r="N29" s="3"/>
    </row>
    <row r="30" spans="2:14" s="2" customFormat="1" ht="15">
      <c r="B30" s="3"/>
      <c r="C30" s="3"/>
      <c r="D30" s="3"/>
      <c r="E30" s="3"/>
      <c r="F30" s="3"/>
      <c r="G30" s="3"/>
      <c r="H30" s="3"/>
      <c r="I30" s="3"/>
      <c r="J30" s="3"/>
      <c r="K30" s="3"/>
      <c r="L30" s="3"/>
      <c r="M30" s="3"/>
      <c r="N30" s="3"/>
    </row>
    <row r="31" spans="1:14" s="2" customFormat="1" ht="15">
      <c r="A31" s="100" t="s">
        <v>203</v>
      </c>
      <c r="B31" s="3">
        <f aca="true" t="shared" si="9" ref="B31:L31">B20+B22+B26+B28</f>
        <v>0</v>
      </c>
      <c r="C31" s="3">
        <f t="shared" si="9"/>
        <v>0</v>
      </c>
      <c r="D31" s="3">
        <f t="shared" si="9"/>
        <v>0</v>
      </c>
      <c r="E31" s="3">
        <f t="shared" si="9"/>
        <v>0</v>
      </c>
      <c r="F31" s="3">
        <f t="shared" si="9"/>
        <v>0</v>
      </c>
      <c r="G31" s="3">
        <f t="shared" si="9"/>
        <v>0</v>
      </c>
      <c r="H31" s="3">
        <f t="shared" si="9"/>
        <v>0</v>
      </c>
      <c r="I31" s="3">
        <f t="shared" si="9"/>
        <v>0</v>
      </c>
      <c r="J31" s="3">
        <f t="shared" si="9"/>
        <v>0</v>
      </c>
      <c r="K31" s="3">
        <f t="shared" si="9"/>
        <v>0</v>
      </c>
      <c r="L31" s="3">
        <f t="shared" si="9"/>
        <v>0</v>
      </c>
      <c r="M31" s="3"/>
      <c r="N31" s="3"/>
    </row>
    <row r="32" spans="1:14" s="2" customFormat="1" ht="15">
      <c r="A32" s="2" t="s">
        <v>126</v>
      </c>
      <c r="B32" s="3">
        <f aca="true" t="shared" si="10" ref="B32:L32">B23+B29</f>
        <v>0</v>
      </c>
      <c r="C32" s="3">
        <f t="shared" si="10"/>
        <v>0</v>
      </c>
      <c r="D32" s="3">
        <f t="shared" si="10"/>
        <v>0</v>
      </c>
      <c r="E32" s="3">
        <f t="shared" si="10"/>
        <v>0</v>
      </c>
      <c r="F32" s="3">
        <f t="shared" si="10"/>
        <v>0</v>
      </c>
      <c r="G32" s="3">
        <f t="shared" si="10"/>
        <v>0</v>
      </c>
      <c r="H32" s="3">
        <f t="shared" si="10"/>
        <v>0</v>
      </c>
      <c r="I32" s="3">
        <f t="shared" si="10"/>
        <v>0</v>
      </c>
      <c r="J32" s="3">
        <f t="shared" si="10"/>
        <v>0</v>
      </c>
      <c r="K32" s="3">
        <f t="shared" si="10"/>
        <v>0</v>
      </c>
      <c r="L32" s="3">
        <f t="shared" si="10"/>
        <v>0</v>
      </c>
      <c r="M32" s="3" t="e">
        <f>(M23+M29)/-B7</f>
        <v>#DIV/0!</v>
      </c>
      <c r="N32" s="3"/>
    </row>
    <row r="33" spans="2:14" s="2" customFormat="1" ht="15">
      <c r="B33" s="3"/>
      <c r="C33" s="3"/>
      <c r="D33" s="3"/>
      <c r="E33" s="3"/>
      <c r="F33" s="3"/>
      <c r="G33" s="3"/>
      <c r="H33" s="3"/>
      <c r="I33" s="3"/>
      <c r="J33" s="3"/>
      <c r="K33" s="3"/>
      <c r="L33" s="3"/>
      <c r="M33" s="3"/>
      <c r="N33" s="3"/>
    </row>
    <row r="34" spans="2:14" s="2" customFormat="1" ht="15">
      <c r="B34" s="3"/>
      <c r="C34" s="3"/>
      <c r="D34" s="3"/>
      <c r="E34" s="3"/>
      <c r="F34" s="3"/>
      <c r="G34" s="3"/>
      <c r="H34" s="3"/>
      <c r="I34" s="3"/>
      <c r="J34" s="3"/>
      <c r="K34" s="3"/>
      <c r="L34" s="3"/>
      <c r="M34" s="3"/>
      <c r="N34" s="3"/>
    </row>
    <row r="35" spans="1:14" s="2" customFormat="1" ht="15">
      <c r="A35" s="13" t="s">
        <v>127</v>
      </c>
      <c r="B35" s="4"/>
      <c r="C35" s="11"/>
      <c r="D35" s="3"/>
      <c r="E35" s="3"/>
      <c r="F35" s="3"/>
      <c r="G35" s="3"/>
      <c r="H35" s="3"/>
      <c r="I35" s="3"/>
      <c r="J35" s="3"/>
      <c r="K35" s="3"/>
      <c r="L35" s="3"/>
      <c r="M35" s="3"/>
      <c r="N35" s="3"/>
    </row>
    <row r="36" spans="1:14" s="2" customFormat="1" ht="15">
      <c r="A36" s="5" t="s">
        <v>115</v>
      </c>
      <c r="B36" s="2">
        <f>Cterm</f>
        <v>0</v>
      </c>
      <c r="C36" s="6" t="s">
        <v>16</v>
      </c>
      <c r="D36" s="3"/>
      <c r="E36" s="292"/>
      <c r="F36" s="3"/>
      <c r="G36" s="3"/>
      <c r="H36" s="3"/>
      <c r="I36" s="3"/>
      <c r="J36" s="3"/>
      <c r="K36" s="3"/>
      <c r="L36" s="3"/>
      <c r="M36" s="3"/>
      <c r="N36" s="3"/>
    </row>
    <row r="37" spans="1:14" s="2" customFormat="1" ht="15">
      <c r="A37" s="5" t="s">
        <v>114</v>
      </c>
      <c r="B37" s="14">
        <f>CInt</f>
        <v>0</v>
      </c>
      <c r="C37" s="6"/>
      <c r="D37" s="3"/>
      <c r="E37" s="3"/>
      <c r="F37" s="3"/>
      <c r="G37" s="3"/>
      <c r="H37" s="3"/>
      <c r="I37" s="3"/>
      <c r="J37" s="3"/>
      <c r="K37" s="3"/>
      <c r="L37" s="3"/>
      <c r="M37" s="3"/>
      <c r="N37" s="3"/>
    </row>
    <row r="38" spans="1:14" s="2" customFormat="1" ht="15">
      <c r="A38" s="5" t="s">
        <v>128</v>
      </c>
      <c r="B38" s="14">
        <f>B37/12</f>
        <v>0</v>
      </c>
      <c r="C38" s="6"/>
      <c r="D38" s="3"/>
      <c r="E38" s="3"/>
      <c r="F38" s="3"/>
      <c r="G38" s="3"/>
      <c r="H38" s="3"/>
      <c r="I38" s="3"/>
      <c r="J38" s="3"/>
      <c r="K38" s="3"/>
      <c r="L38" s="3"/>
      <c r="M38" s="3"/>
      <c r="N38" s="3"/>
    </row>
    <row r="39" spans="1:14" s="2" customFormat="1" ht="15">
      <c r="A39" s="5" t="s">
        <v>113</v>
      </c>
      <c r="B39" s="3">
        <f>IF(Data!B1=TRUE,HCCost+SSCost+'Costs &amp; Savings'!D$13+'Costs &amp; Savings'!D$14+'Costs &amp; Savings'!D$15,0)</f>
        <v>0</v>
      </c>
      <c r="C39" s="6"/>
      <c r="D39" s="3"/>
      <c r="E39" s="3"/>
      <c r="F39" s="3"/>
      <c r="G39" s="3"/>
      <c r="H39" s="3"/>
      <c r="I39" s="3"/>
      <c r="J39" s="3"/>
      <c r="K39" s="3"/>
      <c r="L39" s="3"/>
      <c r="M39" s="3"/>
      <c r="N39" s="3"/>
    </row>
    <row r="40" spans="1:14" s="2" customFormat="1" ht="15">
      <c r="A40" s="8" t="s">
        <v>247</v>
      </c>
      <c r="B40" s="127">
        <f>M46</f>
        <v>0</v>
      </c>
      <c r="C40" s="154">
        <f>S46-M46</f>
        <v>0</v>
      </c>
      <c r="D40" s="3"/>
      <c r="E40" s="3"/>
      <c r="F40" s="3"/>
      <c r="G40" s="3"/>
      <c r="H40" s="3"/>
      <c r="I40" s="3"/>
      <c r="J40" s="3"/>
      <c r="K40" s="3"/>
      <c r="L40" s="3"/>
      <c r="M40" s="3"/>
      <c r="N40" s="3"/>
    </row>
    <row r="41" spans="2:14" s="2" customFormat="1" ht="15">
      <c r="B41" s="3"/>
      <c r="C41" s="3"/>
      <c r="D41" s="3"/>
      <c r="E41" s="3"/>
      <c r="F41" s="3"/>
      <c r="G41" s="3"/>
      <c r="H41" s="3"/>
      <c r="I41" s="3"/>
      <c r="J41" s="3"/>
      <c r="K41" s="3"/>
      <c r="L41" s="3"/>
      <c r="M41" s="3"/>
      <c r="N41" s="3"/>
    </row>
    <row r="42" spans="1:20" s="2" customFormat="1" ht="15">
      <c r="A42" s="149" t="s">
        <v>129</v>
      </c>
      <c r="B42" s="4">
        <v>1</v>
      </c>
      <c r="C42" s="4">
        <v>2</v>
      </c>
      <c r="D42" s="126">
        <v>3</v>
      </c>
      <c r="E42" s="126">
        <v>4</v>
      </c>
      <c r="F42" s="126">
        <v>5</v>
      </c>
      <c r="G42" s="126">
        <v>6</v>
      </c>
      <c r="H42" s="126">
        <v>7</v>
      </c>
      <c r="I42" s="126">
        <v>8</v>
      </c>
      <c r="J42" s="126">
        <v>9</v>
      </c>
      <c r="K42" s="126">
        <v>10</v>
      </c>
      <c r="L42" s="126">
        <v>11</v>
      </c>
      <c r="M42" s="126">
        <v>12</v>
      </c>
      <c r="N42" s="126">
        <v>13</v>
      </c>
      <c r="O42" s="4">
        <v>14</v>
      </c>
      <c r="P42" s="4">
        <v>15</v>
      </c>
      <c r="Q42" s="4">
        <v>16</v>
      </c>
      <c r="R42" s="4">
        <v>17</v>
      </c>
      <c r="S42" s="4">
        <v>18</v>
      </c>
      <c r="T42" s="150" t="s">
        <v>61</v>
      </c>
    </row>
    <row r="43" spans="1:20" s="2" customFormat="1" ht="15">
      <c r="A43" s="5" t="s">
        <v>130</v>
      </c>
      <c r="B43" s="151">
        <f aca="true" t="shared" si="11" ref="B43:S43">IF(B42&lt;=$B36,$B39/$B36,0)</f>
        <v>0</v>
      </c>
      <c r="C43" s="151">
        <f t="shared" si="11"/>
        <v>0</v>
      </c>
      <c r="D43" s="151">
        <f t="shared" si="11"/>
        <v>0</v>
      </c>
      <c r="E43" s="151">
        <f t="shared" si="11"/>
        <v>0</v>
      </c>
      <c r="F43" s="151">
        <f t="shared" si="11"/>
        <v>0</v>
      </c>
      <c r="G43" s="151">
        <f t="shared" si="11"/>
        <v>0</v>
      </c>
      <c r="H43" s="151">
        <f t="shared" si="11"/>
        <v>0</v>
      </c>
      <c r="I43" s="151">
        <f t="shared" si="11"/>
        <v>0</v>
      </c>
      <c r="J43" s="151">
        <f t="shared" si="11"/>
        <v>0</v>
      </c>
      <c r="K43" s="151">
        <f t="shared" si="11"/>
        <v>0</v>
      </c>
      <c r="L43" s="151">
        <f t="shared" si="11"/>
        <v>0</v>
      </c>
      <c r="M43" s="151">
        <f t="shared" si="11"/>
        <v>0</v>
      </c>
      <c r="N43" s="151">
        <f t="shared" si="11"/>
        <v>0</v>
      </c>
      <c r="O43" s="151">
        <f t="shared" si="11"/>
        <v>0</v>
      </c>
      <c r="P43" s="151">
        <f t="shared" si="11"/>
        <v>0</v>
      </c>
      <c r="Q43" s="151">
        <f t="shared" si="11"/>
        <v>0</v>
      </c>
      <c r="R43" s="151">
        <f t="shared" si="11"/>
        <v>0</v>
      </c>
      <c r="S43" s="151">
        <f t="shared" si="11"/>
        <v>0</v>
      </c>
      <c r="T43" s="12">
        <f>SUM(B43:S43)</f>
        <v>0</v>
      </c>
    </row>
    <row r="44" spans="1:20" s="2" customFormat="1" ht="15">
      <c r="A44" s="5" t="s">
        <v>131</v>
      </c>
      <c r="B44" s="3">
        <f>B43</f>
        <v>0</v>
      </c>
      <c r="C44" s="3">
        <f>B44+C43</f>
        <v>0</v>
      </c>
      <c r="D44" s="3">
        <f aca="true" t="shared" si="12" ref="D44:S44">C44+D43</f>
        <v>0</v>
      </c>
      <c r="E44" s="3">
        <f t="shared" si="12"/>
        <v>0</v>
      </c>
      <c r="F44" s="3">
        <f t="shared" si="12"/>
        <v>0</v>
      </c>
      <c r="G44" s="3">
        <f t="shared" si="12"/>
        <v>0</v>
      </c>
      <c r="H44" s="3">
        <f t="shared" si="12"/>
        <v>0</v>
      </c>
      <c r="I44" s="3">
        <f t="shared" si="12"/>
        <v>0</v>
      </c>
      <c r="J44" s="3">
        <f t="shared" si="12"/>
        <v>0</v>
      </c>
      <c r="K44" s="3">
        <f t="shared" si="12"/>
        <v>0</v>
      </c>
      <c r="L44" s="3">
        <f t="shared" si="12"/>
        <v>0</v>
      </c>
      <c r="M44" s="3">
        <f t="shared" si="12"/>
        <v>0</v>
      </c>
      <c r="N44" s="3">
        <f t="shared" si="12"/>
        <v>0</v>
      </c>
      <c r="O44" s="3">
        <f t="shared" si="12"/>
        <v>0</v>
      </c>
      <c r="P44" s="3">
        <f t="shared" si="12"/>
        <v>0</v>
      </c>
      <c r="Q44" s="3">
        <f t="shared" si="12"/>
        <v>0</v>
      </c>
      <c r="R44" s="3">
        <f t="shared" si="12"/>
        <v>0</v>
      </c>
      <c r="S44" s="3">
        <f t="shared" si="12"/>
        <v>0</v>
      </c>
      <c r="T44" s="12"/>
    </row>
    <row r="45" spans="1:20" s="2" customFormat="1" ht="15">
      <c r="A45" s="5" t="s">
        <v>132</v>
      </c>
      <c r="B45" s="3">
        <f aca="true" t="shared" si="13" ref="B45:S45">IF(B42&lt;$B36,-$B38*B44,0)</f>
        <v>0</v>
      </c>
      <c r="C45" s="3">
        <f t="shared" si="13"/>
        <v>0</v>
      </c>
      <c r="D45" s="3">
        <f t="shared" si="13"/>
        <v>0</v>
      </c>
      <c r="E45" s="3">
        <f t="shared" si="13"/>
        <v>0</v>
      </c>
      <c r="F45" s="3">
        <f t="shared" si="13"/>
        <v>0</v>
      </c>
      <c r="G45" s="3">
        <f t="shared" si="13"/>
        <v>0</v>
      </c>
      <c r="H45" s="3">
        <f t="shared" si="13"/>
        <v>0</v>
      </c>
      <c r="I45" s="3">
        <f t="shared" si="13"/>
        <v>0</v>
      </c>
      <c r="J45" s="3">
        <f t="shared" si="13"/>
        <v>0</v>
      </c>
      <c r="K45" s="3">
        <f t="shared" si="13"/>
        <v>0</v>
      </c>
      <c r="L45" s="3">
        <f t="shared" si="13"/>
        <v>0</v>
      </c>
      <c r="M45" s="3">
        <f t="shared" si="13"/>
        <v>0</v>
      </c>
      <c r="N45" s="3">
        <f t="shared" si="13"/>
        <v>0</v>
      </c>
      <c r="O45" s="3">
        <f t="shared" si="13"/>
        <v>0</v>
      </c>
      <c r="P45" s="3">
        <f t="shared" si="13"/>
        <v>0</v>
      </c>
      <c r="Q45" s="3">
        <f t="shared" si="13"/>
        <v>0</v>
      </c>
      <c r="R45" s="3">
        <f t="shared" si="13"/>
        <v>0</v>
      </c>
      <c r="S45" s="3">
        <f t="shared" si="13"/>
        <v>0</v>
      </c>
      <c r="T45" s="12">
        <f>SUM(B45:S45)</f>
        <v>0</v>
      </c>
    </row>
    <row r="46" spans="1:20" s="2" customFormat="1" ht="15">
      <c r="A46" s="8" t="s">
        <v>133</v>
      </c>
      <c r="B46" s="127">
        <f>B45</f>
        <v>0</v>
      </c>
      <c r="C46" s="127">
        <f aca="true" t="shared" si="14" ref="C46:S46">B46+C45</f>
        <v>0</v>
      </c>
      <c r="D46" s="127">
        <f t="shared" si="14"/>
        <v>0</v>
      </c>
      <c r="E46" s="127">
        <f t="shared" si="14"/>
        <v>0</v>
      </c>
      <c r="F46" s="127">
        <f t="shared" si="14"/>
        <v>0</v>
      </c>
      <c r="G46" s="127">
        <f t="shared" si="14"/>
        <v>0</v>
      </c>
      <c r="H46" s="127">
        <f t="shared" si="14"/>
        <v>0</v>
      </c>
      <c r="I46" s="127">
        <f t="shared" si="14"/>
        <v>0</v>
      </c>
      <c r="J46" s="127">
        <f t="shared" si="14"/>
        <v>0</v>
      </c>
      <c r="K46" s="127">
        <f t="shared" si="14"/>
        <v>0</v>
      </c>
      <c r="L46" s="127">
        <f t="shared" si="14"/>
        <v>0</v>
      </c>
      <c r="M46" s="127">
        <f t="shared" si="14"/>
        <v>0</v>
      </c>
      <c r="N46" s="127">
        <f t="shared" si="14"/>
        <v>0</v>
      </c>
      <c r="O46" s="127">
        <f t="shared" si="14"/>
        <v>0</v>
      </c>
      <c r="P46" s="127">
        <f t="shared" si="14"/>
        <v>0</v>
      </c>
      <c r="Q46" s="127">
        <f t="shared" si="14"/>
        <v>0</v>
      </c>
      <c r="R46" s="127">
        <f t="shared" si="14"/>
        <v>0</v>
      </c>
      <c r="S46" s="127">
        <f t="shared" si="14"/>
        <v>0</v>
      </c>
      <c r="T46" s="128"/>
    </row>
    <row r="47" spans="1:20" s="2" customFormat="1" ht="15">
      <c r="A47"/>
      <c r="B47" s="1"/>
      <c r="C47" s="1"/>
      <c r="D47" s="1"/>
      <c r="E47" s="1"/>
      <c r="F47" s="1"/>
      <c r="G47" s="1"/>
      <c r="H47" s="1"/>
      <c r="I47" s="1"/>
      <c r="J47" s="1"/>
      <c r="K47" s="1"/>
      <c r="L47" s="1"/>
      <c r="M47" s="1"/>
      <c r="N47" s="1"/>
      <c r="O47" s="1"/>
      <c r="P47" s="1"/>
      <c r="Q47" s="1"/>
      <c r="R47" s="1"/>
      <c r="S47" s="1"/>
      <c r="T47" s="1"/>
    </row>
    <row r="48" spans="2:20" s="2" customFormat="1" ht="15">
      <c r="B48" s="144" t="s">
        <v>95</v>
      </c>
      <c r="C48" s="144" t="s">
        <v>96</v>
      </c>
      <c r="D48" s="7"/>
      <c r="E48" s="7"/>
      <c r="F48" s="7"/>
      <c r="G48" s="7"/>
      <c r="H48" s="7"/>
      <c r="I48" s="7"/>
      <c r="J48" s="7"/>
      <c r="K48" s="7"/>
      <c r="M48" s="7"/>
      <c r="N48"/>
      <c r="O48"/>
      <c r="P48"/>
      <c r="Q48"/>
      <c r="R48"/>
      <c r="S48"/>
      <c r="T48"/>
    </row>
    <row r="49" spans="1:20" s="2" customFormat="1" ht="15">
      <c r="A49" s="146" t="s">
        <v>243</v>
      </c>
      <c r="B49" s="145" t="b">
        <f>OR(C8&gt;0,CLoan2=TRUE)</f>
        <v>0</v>
      </c>
      <c r="C49" s="144"/>
      <c r="D49" s="7"/>
      <c r="E49" s="7"/>
      <c r="F49" s="7"/>
      <c r="G49" s="7"/>
      <c r="H49" s="7"/>
      <c r="I49" s="7"/>
      <c r="J49" s="7"/>
      <c r="K49" s="7"/>
      <c r="M49" s="7"/>
      <c r="N49"/>
      <c r="O49"/>
      <c r="P49"/>
      <c r="Q49"/>
      <c r="R49"/>
      <c r="S49"/>
      <c r="T49"/>
    </row>
    <row r="50" spans="2:20" ht="15">
      <c r="B50" s="1"/>
      <c r="C50" s="1"/>
      <c r="D50" s="1"/>
      <c r="E50" s="1"/>
      <c r="F50" s="1"/>
      <c r="G50" s="1"/>
      <c r="H50" s="1"/>
      <c r="I50" s="1"/>
      <c r="J50" s="1"/>
      <c r="K50" s="1"/>
      <c r="L50" s="1"/>
      <c r="M50" s="1"/>
      <c r="N50" s="1"/>
      <c r="O50" s="1"/>
      <c r="P50" s="1"/>
      <c r="Q50" s="1"/>
      <c r="R50" s="1"/>
      <c r="S50" s="1"/>
      <c r="T50" s="1"/>
    </row>
    <row r="51" spans="2:20" ht="15">
      <c r="B51" s="1"/>
      <c r="C51" s="1"/>
      <c r="D51" s="1"/>
      <c r="E51" s="1"/>
      <c r="F51" s="1"/>
      <c r="G51" s="1"/>
      <c r="H51" s="1"/>
      <c r="I51" s="1"/>
      <c r="J51" s="1"/>
      <c r="K51" s="1"/>
      <c r="L51" s="1"/>
      <c r="M51" s="1"/>
      <c r="N51" s="1"/>
      <c r="O51" s="1"/>
      <c r="P51" s="1"/>
      <c r="Q51" s="1"/>
      <c r="R51" s="1"/>
      <c r="S51" s="1"/>
      <c r="T51" s="1"/>
    </row>
    <row r="53" spans="1:13" ht="15">
      <c r="A53" s="141" t="s">
        <v>281</v>
      </c>
      <c r="B53" s="86"/>
      <c r="C53" s="87"/>
      <c r="D53" s="87"/>
      <c r="E53" s="87"/>
      <c r="F53" s="87"/>
      <c r="G53" s="87"/>
      <c r="H53" s="87"/>
      <c r="I53" s="87"/>
      <c r="J53" s="87"/>
      <c r="K53" s="87"/>
      <c r="L53" s="87"/>
      <c r="M53" s="88"/>
    </row>
    <row r="54" spans="1:13" ht="15">
      <c r="A54" s="89" t="s">
        <v>60</v>
      </c>
      <c r="B54" s="90">
        <v>0</v>
      </c>
      <c r="C54" s="90">
        <v>1</v>
      </c>
      <c r="D54" s="90">
        <v>2</v>
      </c>
      <c r="E54" s="90">
        <v>3</v>
      </c>
      <c r="F54" s="90">
        <v>4</v>
      </c>
      <c r="G54" s="90">
        <v>5</v>
      </c>
      <c r="H54" s="90">
        <v>6</v>
      </c>
      <c r="I54" s="90">
        <v>7</v>
      </c>
      <c r="J54" s="90">
        <v>8</v>
      </c>
      <c r="K54" s="90">
        <v>9</v>
      </c>
      <c r="L54" s="90">
        <v>10</v>
      </c>
      <c r="M54" s="91"/>
    </row>
    <row r="55" spans="1:13" ht="15">
      <c r="A55" s="89"/>
      <c r="B55" s="90"/>
      <c r="C55" s="90"/>
      <c r="D55" s="90"/>
      <c r="E55" s="90"/>
      <c r="F55" s="90"/>
      <c r="G55" s="90"/>
      <c r="H55" s="90"/>
      <c r="I55" s="90"/>
      <c r="J55" s="90"/>
      <c r="K55" s="90"/>
      <c r="L55" s="90"/>
      <c r="M55" s="91"/>
    </row>
    <row r="56" spans="1:13" ht="15">
      <c r="A56" s="92" t="s">
        <v>148</v>
      </c>
      <c r="B56" s="93">
        <f>' Summary'!J25</f>
        <v>5</v>
      </c>
      <c r="C56" s="18"/>
      <c r="D56" s="20"/>
      <c r="E56" s="20"/>
      <c r="F56" s="20"/>
      <c r="G56" s="20"/>
      <c r="H56" s="20"/>
      <c r="I56" s="20"/>
      <c r="J56" s="20"/>
      <c r="K56" s="20"/>
      <c r="L56" s="20"/>
      <c r="M56" s="91"/>
    </row>
    <row r="57" spans="1:13" ht="15">
      <c r="A57" s="92" t="s">
        <v>149</v>
      </c>
      <c r="B57" s="94" t="str">
        <f>Data!E7</f>
        <v>Straight Line</v>
      </c>
      <c r="C57" s="17"/>
      <c r="D57" s="17"/>
      <c r="E57" s="17"/>
      <c r="F57" s="17"/>
      <c r="G57" s="17"/>
      <c r="H57" s="17"/>
      <c r="I57" s="17"/>
      <c r="J57" s="17"/>
      <c r="K57" s="17"/>
      <c r="L57" s="17"/>
      <c r="M57" s="95"/>
    </row>
    <row r="58" spans="1:13" ht="15">
      <c r="A58" s="96" t="s">
        <v>0</v>
      </c>
      <c r="B58" s="107">
        <f>' Summary'!C7</f>
        <v>414644.7</v>
      </c>
      <c r="C58" s="107"/>
      <c r="D58" s="107"/>
      <c r="E58" s="107"/>
      <c r="F58" s="121"/>
      <c r="G58" s="107"/>
      <c r="H58" s="107"/>
      <c r="I58" s="107"/>
      <c r="J58" s="107"/>
      <c r="K58" s="107"/>
      <c r="L58" s="107"/>
      <c r="M58" s="122"/>
    </row>
    <row r="59" spans="1:13" ht="15">
      <c r="A59" s="96" t="s">
        <v>150</v>
      </c>
      <c r="B59" s="107">
        <f>' Summary'!J27</f>
        <v>0</v>
      </c>
      <c r="C59" s="107"/>
      <c r="D59" s="107"/>
      <c r="E59" s="107"/>
      <c r="F59" s="121"/>
      <c r="G59" s="107"/>
      <c r="H59" s="107"/>
      <c r="I59" s="107"/>
      <c r="J59" s="107"/>
      <c r="K59" s="107"/>
      <c r="L59" s="107"/>
      <c r="M59" s="122"/>
    </row>
    <row r="60" spans="1:13" ht="15">
      <c r="A60" s="96" t="s">
        <v>151</v>
      </c>
      <c r="B60" s="107"/>
      <c r="C60" s="107">
        <f aca="true" t="shared" si="15" ref="C60:L60">SUM(C62:C65)</f>
        <v>82928.94</v>
      </c>
      <c r="D60" s="107">
        <f t="shared" si="15"/>
        <v>82928.94</v>
      </c>
      <c r="E60" s="107">
        <f t="shared" si="15"/>
        <v>82928.94</v>
      </c>
      <c r="F60" s="107">
        <f t="shared" si="15"/>
        <v>82928.94</v>
      </c>
      <c r="G60" s="107">
        <f t="shared" si="15"/>
        <v>82928.94</v>
      </c>
      <c r="H60" s="107">
        <f t="shared" si="15"/>
        <v>0</v>
      </c>
      <c r="I60" s="107">
        <f t="shared" si="15"/>
        <v>0</v>
      </c>
      <c r="J60" s="107">
        <f t="shared" si="15"/>
        <v>0</v>
      </c>
      <c r="K60" s="107">
        <f t="shared" si="15"/>
        <v>0</v>
      </c>
      <c r="L60" s="107">
        <f t="shared" si="15"/>
        <v>0</v>
      </c>
      <c r="M60" s="122">
        <f>SUM(C60:L60)</f>
        <v>414644.7</v>
      </c>
    </row>
    <row r="61" spans="1:13" ht="15">
      <c r="A61" s="96"/>
      <c r="B61" s="107"/>
      <c r="C61" s="107"/>
      <c r="D61" s="107"/>
      <c r="E61" s="107"/>
      <c r="F61" s="121"/>
      <c r="G61" s="107"/>
      <c r="H61" s="107"/>
      <c r="I61" s="107"/>
      <c r="J61" s="107"/>
      <c r="K61" s="107"/>
      <c r="L61" s="107"/>
      <c r="M61" s="122"/>
    </row>
    <row r="62" spans="1:13" ht="15">
      <c r="A62" s="97" t="s">
        <v>111</v>
      </c>
      <c r="B62" s="107"/>
      <c r="C62" s="107">
        <f aca="true" t="shared" si="16" ref="C62:L62">IF($A62=$B57,IF(C54&lt;=$B56,SLN($B58,$B59,$B56),0),0)</f>
        <v>82928.94</v>
      </c>
      <c r="D62" s="107">
        <f t="shared" si="16"/>
        <v>82928.94</v>
      </c>
      <c r="E62" s="107">
        <f t="shared" si="16"/>
        <v>82928.94</v>
      </c>
      <c r="F62" s="107">
        <f t="shared" si="16"/>
        <v>82928.94</v>
      </c>
      <c r="G62" s="107">
        <f t="shared" si="16"/>
        <v>82928.94</v>
      </c>
      <c r="H62" s="107">
        <f t="shared" si="16"/>
        <v>0</v>
      </c>
      <c r="I62" s="107">
        <f t="shared" si="16"/>
        <v>0</v>
      </c>
      <c r="J62" s="107">
        <f t="shared" si="16"/>
        <v>0</v>
      </c>
      <c r="K62" s="107">
        <f t="shared" si="16"/>
        <v>0</v>
      </c>
      <c r="L62" s="107">
        <f t="shared" si="16"/>
        <v>0</v>
      </c>
      <c r="M62" s="122">
        <f>SUM(C62:L62)</f>
        <v>414644.7</v>
      </c>
    </row>
    <row r="63" spans="1:13" ht="15">
      <c r="A63" s="97" t="s">
        <v>230</v>
      </c>
      <c r="B63" s="107"/>
      <c r="C63" s="107">
        <f>IF($A63=$B57,B58,0)</f>
        <v>0</v>
      </c>
      <c r="D63" s="107">
        <v>0</v>
      </c>
      <c r="E63" s="107">
        <v>0</v>
      </c>
      <c r="F63" s="107">
        <v>0</v>
      </c>
      <c r="G63" s="107">
        <v>0</v>
      </c>
      <c r="H63" s="107">
        <v>0</v>
      </c>
      <c r="I63" s="107">
        <v>0</v>
      </c>
      <c r="J63" s="107">
        <v>0</v>
      </c>
      <c r="K63" s="107">
        <v>0</v>
      </c>
      <c r="L63" s="107">
        <v>0</v>
      </c>
      <c r="M63" s="122">
        <f>SUM(C63:L63)</f>
        <v>0</v>
      </c>
    </row>
    <row r="64" spans="1:13" ht="15">
      <c r="A64" s="96" t="s">
        <v>152</v>
      </c>
      <c r="B64" s="107"/>
      <c r="C64" s="107">
        <f aca="true" t="shared" si="17" ref="C64:L64">IF($A64=$B57,IF(C54&lt;=$B56,SYD($B58,$B59,$B56,C54),0),0)</f>
        <v>0</v>
      </c>
      <c r="D64" s="107">
        <f t="shared" si="17"/>
        <v>0</v>
      </c>
      <c r="E64" s="107">
        <f t="shared" si="17"/>
        <v>0</v>
      </c>
      <c r="F64" s="107">
        <f t="shared" si="17"/>
        <v>0</v>
      </c>
      <c r="G64" s="107">
        <f t="shared" si="17"/>
        <v>0</v>
      </c>
      <c r="H64" s="107">
        <f t="shared" si="17"/>
        <v>0</v>
      </c>
      <c r="I64" s="107">
        <f t="shared" si="17"/>
        <v>0</v>
      </c>
      <c r="J64" s="107">
        <f t="shared" si="17"/>
        <v>0</v>
      </c>
      <c r="K64" s="107">
        <f t="shared" si="17"/>
        <v>0</v>
      </c>
      <c r="L64" s="107">
        <f t="shared" si="17"/>
        <v>0</v>
      </c>
      <c r="M64" s="122">
        <f>SUM(C64:L64)</f>
        <v>0</v>
      </c>
    </row>
    <row r="65" spans="1:13" ht="15">
      <c r="A65" s="98" t="s">
        <v>283</v>
      </c>
      <c r="B65" s="120"/>
      <c r="C65" s="120">
        <f aca="true" t="shared" si="18" ref="C65:L65">IF($A65=$B57,IF(C54&lt;=$B56,DB($B58,$B59,$B56,$B56),0),0)</f>
        <v>0</v>
      </c>
      <c r="D65" s="120">
        <f t="shared" si="18"/>
        <v>0</v>
      </c>
      <c r="E65" s="120">
        <f t="shared" si="18"/>
        <v>0</v>
      </c>
      <c r="F65" s="120">
        <f t="shared" si="18"/>
        <v>0</v>
      </c>
      <c r="G65" s="120">
        <f t="shared" si="18"/>
        <v>0</v>
      </c>
      <c r="H65" s="120">
        <f t="shared" si="18"/>
        <v>0</v>
      </c>
      <c r="I65" s="120">
        <f t="shared" si="18"/>
        <v>0</v>
      </c>
      <c r="J65" s="120">
        <f t="shared" si="18"/>
        <v>0</v>
      </c>
      <c r="K65" s="120">
        <f t="shared" si="18"/>
        <v>0</v>
      </c>
      <c r="L65" s="120">
        <f t="shared" si="18"/>
        <v>0</v>
      </c>
      <c r="M65" s="123">
        <f>SUM(C65:L65)</f>
        <v>0</v>
      </c>
    </row>
    <row r="66" spans="3:5" ht="15">
      <c r="C66" s="291"/>
      <c r="D66" s="291"/>
      <c r="E66" s="291"/>
    </row>
    <row r="67" spans="1:12" ht="15">
      <c r="A67" t="s">
        <v>250</v>
      </c>
      <c r="B67" s="156">
        <f>B58</f>
        <v>414644.7</v>
      </c>
      <c r="C67" s="156">
        <f aca="true" t="shared" si="19" ref="C67:L67">B67-C60</f>
        <v>331715.76</v>
      </c>
      <c r="D67" s="156">
        <f t="shared" si="19"/>
        <v>248786.82</v>
      </c>
      <c r="E67" s="156">
        <f t="shared" si="19"/>
        <v>165857.88</v>
      </c>
      <c r="F67" s="156">
        <f t="shared" si="19"/>
        <v>82928.94</v>
      </c>
      <c r="G67" s="156">
        <f t="shared" si="19"/>
        <v>0</v>
      </c>
      <c r="H67" s="156">
        <f t="shared" si="19"/>
        <v>0</v>
      </c>
      <c r="I67" s="156">
        <f t="shared" si="19"/>
        <v>0</v>
      </c>
      <c r="J67" s="156">
        <f t="shared" si="19"/>
        <v>0</v>
      </c>
      <c r="K67" s="156">
        <f t="shared" si="19"/>
        <v>0</v>
      </c>
      <c r="L67" s="156">
        <f t="shared" si="19"/>
        <v>0</v>
      </c>
    </row>
    <row r="69" spans="3:13" ht="15">
      <c r="C69" s="1"/>
      <c r="D69" s="1"/>
      <c r="E69" s="1"/>
      <c r="F69" s="1"/>
      <c r="G69" s="1"/>
      <c r="H69" s="1"/>
      <c r="I69" s="1"/>
      <c r="J69" s="1"/>
      <c r="K69" s="1"/>
      <c r="L69" s="1"/>
      <c r="M69" s="1"/>
    </row>
    <row r="70" spans="1:13" ht="15">
      <c r="A70" s="141" t="s">
        <v>282</v>
      </c>
      <c r="B70" s="86"/>
      <c r="C70" s="87"/>
      <c r="D70" s="87"/>
      <c r="E70" s="87"/>
      <c r="F70" s="87"/>
      <c r="G70" s="87"/>
      <c r="H70" s="87"/>
      <c r="I70" s="87"/>
      <c r="J70" s="87"/>
      <c r="K70" s="87"/>
      <c r="L70" s="87"/>
      <c r="M70" s="88"/>
    </row>
    <row r="71" spans="1:13" ht="15">
      <c r="A71" s="89" t="s">
        <v>60</v>
      </c>
      <c r="B71" s="90">
        <v>0</v>
      </c>
      <c r="C71" s="90">
        <v>1</v>
      </c>
      <c r="D71" s="90">
        <v>2</v>
      </c>
      <c r="E71" s="90">
        <v>3</v>
      </c>
      <c r="F71" s="90">
        <v>4</v>
      </c>
      <c r="G71" s="90">
        <v>5</v>
      </c>
      <c r="H71" s="90">
        <v>6</v>
      </c>
      <c r="I71" s="90">
        <v>7</v>
      </c>
      <c r="J71" s="90">
        <v>8</v>
      </c>
      <c r="K71" s="90">
        <v>9</v>
      </c>
      <c r="L71" s="90">
        <v>10</v>
      </c>
      <c r="M71" s="91"/>
    </row>
    <row r="72" spans="1:13" ht="15">
      <c r="A72" s="89"/>
      <c r="B72" s="90"/>
      <c r="C72" s="90"/>
      <c r="D72" s="90"/>
      <c r="E72" s="90"/>
      <c r="F72" s="90"/>
      <c r="G72" s="90"/>
      <c r="H72" s="90"/>
      <c r="I72" s="90"/>
      <c r="J72" s="90"/>
      <c r="K72" s="90"/>
      <c r="L72" s="90"/>
      <c r="M72" s="91"/>
    </row>
    <row r="73" spans="1:13" ht="15">
      <c r="A73" s="92" t="s">
        <v>148</v>
      </c>
      <c r="B73" s="93">
        <f>' Summary'!J25</f>
        <v>5</v>
      </c>
      <c r="C73" s="18"/>
      <c r="D73" s="20"/>
      <c r="E73" s="20"/>
      <c r="F73" s="20"/>
      <c r="G73" s="20"/>
      <c r="H73" s="20"/>
      <c r="I73" s="20"/>
      <c r="J73" s="20"/>
      <c r="K73" s="20"/>
      <c r="L73" s="20"/>
      <c r="M73" s="91"/>
    </row>
    <row r="74" spans="1:13" ht="15">
      <c r="A74" s="92" t="s">
        <v>149</v>
      </c>
      <c r="B74" s="94" t="str">
        <f>Data!E7</f>
        <v>Straight Line</v>
      </c>
      <c r="C74" s="17"/>
      <c r="D74" s="17"/>
      <c r="E74" s="17"/>
      <c r="F74" s="17"/>
      <c r="G74" s="17"/>
      <c r="H74" s="17"/>
      <c r="I74" s="17"/>
      <c r="J74" s="17"/>
      <c r="K74" s="17"/>
      <c r="L74" s="17"/>
      <c r="M74" s="95"/>
    </row>
    <row r="75" spans="1:13" ht="15">
      <c r="A75" s="96" t="s">
        <v>0</v>
      </c>
      <c r="B75" s="107">
        <f>' Summary'!F27</f>
        <v>456091.7</v>
      </c>
      <c r="C75" s="107"/>
      <c r="D75" s="107"/>
      <c r="E75" s="107"/>
      <c r="F75" s="121"/>
      <c r="G75" s="107"/>
      <c r="H75" s="107"/>
      <c r="I75" s="107"/>
      <c r="J75" s="107"/>
      <c r="K75" s="107"/>
      <c r="L75" s="107"/>
      <c r="M75" s="122"/>
    </row>
    <row r="76" spans="1:13" ht="15">
      <c r="A76" s="96" t="s">
        <v>150</v>
      </c>
      <c r="B76" s="107">
        <f>' Summary'!J27</f>
        <v>0</v>
      </c>
      <c r="C76" s="107"/>
      <c r="D76" s="107"/>
      <c r="E76" s="107"/>
      <c r="F76" s="121"/>
      <c r="G76" s="107"/>
      <c r="H76" s="107"/>
      <c r="I76" s="107"/>
      <c r="J76" s="107"/>
      <c r="K76" s="107"/>
      <c r="L76" s="107"/>
      <c r="M76" s="122"/>
    </row>
    <row r="77" spans="1:13" ht="15">
      <c r="A77" s="96" t="s">
        <v>151</v>
      </c>
      <c r="B77" s="107"/>
      <c r="C77" s="107">
        <f aca="true" t="shared" si="20" ref="C77:L77">SUM(C79:C82)</f>
        <v>91218.34</v>
      </c>
      <c r="D77" s="107">
        <f t="shared" si="20"/>
        <v>91218.34</v>
      </c>
      <c r="E77" s="107">
        <f t="shared" si="20"/>
        <v>91218.34</v>
      </c>
      <c r="F77" s="107">
        <f t="shared" si="20"/>
        <v>91218.34</v>
      </c>
      <c r="G77" s="107">
        <f t="shared" si="20"/>
        <v>91218.34</v>
      </c>
      <c r="H77" s="107">
        <f t="shared" si="20"/>
        <v>0</v>
      </c>
      <c r="I77" s="107">
        <f t="shared" si="20"/>
        <v>0</v>
      </c>
      <c r="J77" s="107">
        <f t="shared" si="20"/>
        <v>0</v>
      </c>
      <c r="K77" s="107">
        <f t="shared" si="20"/>
        <v>0</v>
      </c>
      <c r="L77" s="107">
        <f t="shared" si="20"/>
        <v>0</v>
      </c>
      <c r="M77" s="122">
        <f>SUM(C77:L77)</f>
        <v>456091.69999999995</v>
      </c>
    </row>
    <row r="78" spans="1:13" ht="15">
      <c r="A78" s="96"/>
      <c r="B78" s="107"/>
      <c r="C78" s="107"/>
      <c r="D78" s="107"/>
      <c r="E78" s="107"/>
      <c r="F78" s="121"/>
      <c r="G78" s="107"/>
      <c r="H78" s="107"/>
      <c r="I78" s="107"/>
      <c r="J78" s="107"/>
      <c r="K78" s="107"/>
      <c r="L78" s="107"/>
      <c r="M78" s="122"/>
    </row>
    <row r="79" spans="1:13" ht="15">
      <c r="A79" s="97" t="s">
        <v>111</v>
      </c>
      <c r="B79" s="107"/>
      <c r="C79" s="107">
        <f aca="true" t="shared" si="21" ref="C79:L79">IF($A79=$B74,IF(C71&lt;=$B73,SLN($B75,$B76,$B73),0),0)</f>
        <v>91218.34</v>
      </c>
      <c r="D79" s="107">
        <f t="shared" si="21"/>
        <v>91218.34</v>
      </c>
      <c r="E79" s="107">
        <f t="shared" si="21"/>
        <v>91218.34</v>
      </c>
      <c r="F79" s="107">
        <f t="shared" si="21"/>
        <v>91218.34</v>
      </c>
      <c r="G79" s="107">
        <f t="shared" si="21"/>
        <v>91218.34</v>
      </c>
      <c r="H79" s="107">
        <f t="shared" si="21"/>
        <v>0</v>
      </c>
      <c r="I79" s="107">
        <f t="shared" si="21"/>
        <v>0</v>
      </c>
      <c r="J79" s="107">
        <f t="shared" si="21"/>
        <v>0</v>
      </c>
      <c r="K79" s="107">
        <f t="shared" si="21"/>
        <v>0</v>
      </c>
      <c r="L79" s="107">
        <f t="shared" si="21"/>
        <v>0</v>
      </c>
      <c r="M79" s="122">
        <f>SUM(C79:L79)</f>
        <v>456091.69999999995</v>
      </c>
    </row>
    <row r="80" spans="1:13" ht="15">
      <c r="A80" s="97" t="s">
        <v>230</v>
      </c>
      <c r="B80" s="107"/>
      <c r="C80" s="107">
        <f>IF($A80=$B74,B75,0)</f>
        <v>0</v>
      </c>
      <c r="D80" s="107">
        <v>0</v>
      </c>
      <c r="E80" s="107">
        <v>0</v>
      </c>
      <c r="F80" s="107">
        <v>0</v>
      </c>
      <c r="G80" s="107">
        <v>0</v>
      </c>
      <c r="H80" s="107">
        <v>0</v>
      </c>
      <c r="I80" s="107">
        <v>0</v>
      </c>
      <c r="J80" s="107">
        <v>0</v>
      </c>
      <c r="K80" s="107">
        <v>0</v>
      </c>
      <c r="L80" s="107">
        <v>0</v>
      </c>
      <c r="M80" s="122">
        <f>SUM(C80:L80)</f>
        <v>0</v>
      </c>
    </row>
    <row r="81" spans="1:13" ht="15">
      <c r="A81" s="96" t="s">
        <v>152</v>
      </c>
      <c r="B81" s="107"/>
      <c r="C81" s="107">
        <f aca="true" t="shared" si="22" ref="C81:L81">IF($A81=$B74,IF(C71&lt;=$B73,SYD($B75,$B76,$B73,C71),0),0)</f>
        <v>0</v>
      </c>
      <c r="D81" s="107">
        <f t="shared" si="22"/>
        <v>0</v>
      </c>
      <c r="E81" s="107">
        <f t="shared" si="22"/>
        <v>0</v>
      </c>
      <c r="F81" s="107">
        <f t="shared" si="22"/>
        <v>0</v>
      </c>
      <c r="G81" s="107">
        <f t="shared" si="22"/>
        <v>0</v>
      </c>
      <c r="H81" s="107">
        <f t="shared" si="22"/>
        <v>0</v>
      </c>
      <c r="I81" s="107">
        <f t="shared" si="22"/>
        <v>0</v>
      </c>
      <c r="J81" s="107">
        <f t="shared" si="22"/>
        <v>0</v>
      </c>
      <c r="K81" s="107">
        <f t="shared" si="22"/>
        <v>0</v>
      </c>
      <c r="L81" s="107">
        <f t="shared" si="22"/>
        <v>0</v>
      </c>
      <c r="M81" s="122">
        <f>SUM(C81:L81)</f>
        <v>0</v>
      </c>
    </row>
    <row r="82" spans="1:13" ht="15">
      <c r="A82" s="98" t="s">
        <v>283</v>
      </c>
      <c r="B82" s="120"/>
      <c r="C82" s="120">
        <f>IF($A82=$B74,IF(C71&lt;=$B73,DB($B75,$B76,$B73,C71),0),0)</f>
        <v>0</v>
      </c>
      <c r="D82" s="120">
        <f aca="true" t="shared" si="23" ref="D82:L82">IF($A82=$B74,IF(D71&lt;=$B73,DB($B75,$B76,$B73,D71),0),0)</f>
        <v>0</v>
      </c>
      <c r="E82" s="120">
        <f t="shared" si="23"/>
        <v>0</v>
      </c>
      <c r="F82" s="120">
        <f t="shared" si="23"/>
        <v>0</v>
      </c>
      <c r="G82" s="120">
        <f t="shared" si="23"/>
        <v>0</v>
      </c>
      <c r="H82" s="120">
        <f t="shared" si="23"/>
        <v>0</v>
      </c>
      <c r="I82" s="120">
        <f t="shared" si="23"/>
        <v>0</v>
      </c>
      <c r="J82" s="120">
        <f t="shared" si="23"/>
        <v>0</v>
      </c>
      <c r="K82" s="120">
        <f t="shared" si="23"/>
        <v>0</v>
      </c>
      <c r="L82" s="120">
        <f t="shared" si="23"/>
        <v>0</v>
      </c>
      <c r="M82" s="123">
        <f>SUM(C82:L82)</f>
        <v>0</v>
      </c>
    </row>
    <row r="84" spans="1:12" ht="15">
      <c r="A84" t="s">
        <v>250</v>
      </c>
      <c r="B84" s="156">
        <f>B75</f>
        <v>456091.7</v>
      </c>
      <c r="C84" s="156">
        <f aca="true" t="shared" si="24" ref="C84:L84">B84-C77</f>
        <v>364873.36</v>
      </c>
      <c r="D84" s="156">
        <f t="shared" si="24"/>
        <v>273655.02</v>
      </c>
      <c r="E84" s="156">
        <f t="shared" si="24"/>
        <v>182436.68000000002</v>
      </c>
      <c r="F84" s="156">
        <f t="shared" si="24"/>
        <v>91218.34000000003</v>
      </c>
      <c r="G84" s="156">
        <f t="shared" si="24"/>
        <v>0</v>
      </c>
      <c r="H84" s="156">
        <f t="shared" si="24"/>
        <v>0</v>
      </c>
      <c r="I84" s="156">
        <f t="shared" si="24"/>
        <v>0</v>
      </c>
      <c r="J84" s="156">
        <f t="shared" si="24"/>
        <v>0</v>
      </c>
      <c r="K84" s="156">
        <f t="shared" si="24"/>
        <v>0</v>
      </c>
      <c r="L84" s="156">
        <f t="shared" si="24"/>
        <v>0</v>
      </c>
    </row>
  </sheetData>
  <sheetProtection password="D997" sheet="1" objects="1" scenarios="1"/>
  <printOptions/>
  <pageMargins left="0.75" right="0.75" top="1" bottom="1" header="0.5" footer="0.5"/>
  <pageSetup fitToHeight="1" fitToWidth="1" horizontalDpi="300" verticalDpi="300" orientation="landscape"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Econergy International Corp. (EIC)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 ESCO Financial Mode</dc:title>
  <dc:subject/>
  <dc:creator>Phil Doyle</dc:creator>
  <cp:keywords/>
  <dc:description/>
  <cp:lastModifiedBy>BOTAFOGO</cp:lastModifiedBy>
  <cp:lastPrinted>2003-04-18T16:11:22Z</cp:lastPrinted>
  <dcterms:created xsi:type="dcterms:W3CDTF">1999-01-22T19:21:52Z</dcterms:created>
  <dcterms:modified xsi:type="dcterms:W3CDTF">2003-09-17T16:00:18Z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579142826</vt:i4>
  </property>
  <property fmtid="{D5CDD505-2E9C-101B-9397-08002B2CF9AE}" pid="3" name="_EmailSubject">
    <vt:lpwstr>model</vt:lpwstr>
  </property>
  <property fmtid="{D5CDD505-2E9C-101B-9397-08002B2CF9AE}" pid="4" name="_AuthorEmail">
    <vt:lpwstr>renner@eic-co.com</vt:lpwstr>
  </property>
  <property fmtid="{D5CDD505-2E9C-101B-9397-08002B2CF9AE}" pid="5" name="_AuthorEmailDisplayName">
    <vt:lpwstr>Rick Renner</vt:lpwstr>
  </property>
  <property fmtid="{D5CDD505-2E9C-101B-9397-08002B2CF9AE}" pid="6" name="_PreviousAdHocReviewCycleID">
    <vt:i4>2105910789</vt:i4>
  </property>
</Properties>
</file>